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30" windowHeight="11760" tabRatio="599" firstSheet="1" activeTab="1"/>
  </bookViews>
  <sheets>
    <sheet name="PPNE1" sheetId="58"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PPNE2!$A$5:$W$17</definedName>
    <definedName name="_xlnm._FilterDatabase" localSheetId="5" hidden="1">PPNE4!$A$16:$O$328</definedName>
    <definedName name="_xlnm._FilterDatabase" localSheetId="6" hidden="1">PPNE5!$A$16:$K$326</definedName>
    <definedName name="CodigoActividad" localSheetId="0">#REF!</definedName>
    <definedName name="CodigoActividad">#REF!</definedName>
    <definedName name="Insumos" localSheetId="1">#REF!</definedName>
    <definedName name="Insumos">Insumos!$A$540:$A$583</definedName>
    <definedName name="JJ">#REF!</definedName>
    <definedName name="Ls_DepartamentosSRS">#REF!</definedName>
    <definedName name="Ls_LinesEstategica" localSheetId="0">#REF!</definedName>
    <definedName name="Ls_LinesEstategica">#REF!</definedName>
    <definedName name="Ls_Medio_Verificacion" localSheetId="0">#REF!</definedName>
    <definedName name="Ls_Medio_Verificacion">#REF!</definedName>
    <definedName name="ls_Regiones" localSheetId="0">#REF!</definedName>
    <definedName name="ls_Regiones">#REF!</definedName>
    <definedName name="ls_TiposAcciones" localSheetId="0">#REF!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 localSheetId="0">#REF!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 localSheetId="0">#REF!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PPPP6">#REF!</definedName>
    <definedName name="Productos" localSheetId="0">#REF!</definedName>
    <definedName name="Productos">#REF!</definedName>
    <definedName name="Provincias" localSheetId="0">#REF!</definedName>
    <definedName name="Provincias">#REF!</definedName>
    <definedName name="_xlnm.Print_Titles" localSheetId="5">PPNE4!$16:$17</definedName>
    <definedName name="_xlnm.Print_Titles" localSheetId="6">PPNE5!$16:$17</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55" l="1"/>
  <c r="G172" i="53"/>
  <c r="H172" i="53"/>
  <c r="J298" i="53" l="1"/>
  <c r="H287" i="53"/>
  <c r="I287" i="53"/>
  <c r="J267" i="53"/>
  <c r="J269" i="53"/>
  <c r="J166" i="53"/>
  <c r="J140" i="53"/>
  <c r="H21" i="53"/>
  <c r="I21" i="53"/>
  <c r="L130" i="56"/>
  <c r="L129" i="56"/>
  <c r="B129" i="56"/>
  <c r="B130" i="56"/>
  <c r="L152" i="56"/>
  <c r="L151" i="56"/>
  <c r="B151" i="56"/>
  <c r="B152" i="56"/>
  <c r="L194" i="56"/>
  <c r="L193" i="56"/>
  <c r="L206" i="56"/>
  <c r="L205" i="56"/>
  <c r="L230" i="56"/>
  <c r="L229" i="56"/>
  <c r="L242" i="56"/>
  <c r="L241" i="56"/>
  <c r="L253" i="56"/>
  <c r="L252" i="56"/>
  <c r="L277" i="56"/>
  <c r="L276" i="56"/>
  <c r="L288" i="56"/>
  <c r="L287" i="56"/>
  <c r="B193" i="56"/>
  <c r="B194" i="56"/>
  <c r="B205" i="56"/>
  <c r="B206" i="56"/>
  <c r="B229" i="56"/>
  <c r="B230" i="56"/>
  <c r="B241" i="56"/>
  <c r="B242" i="56"/>
  <c r="B252" i="56"/>
  <c r="B253" i="56"/>
  <c r="B276" i="56"/>
  <c r="B277" i="56"/>
  <c r="B287" i="56"/>
  <c r="B288" i="56"/>
  <c r="L299" i="56"/>
  <c r="L298" i="56"/>
  <c r="L265" i="56"/>
  <c r="L264" i="56"/>
  <c r="L219" i="56"/>
  <c r="L218" i="56"/>
  <c r="L184" i="56"/>
  <c r="L183" i="56"/>
  <c r="L142" i="56"/>
  <c r="L141" i="56"/>
  <c r="L109" i="56"/>
  <c r="L108" i="56"/>
  <c r="B298" i="56"/>
  <c r="B299" i="56"/>
  <c r="B264" i="56"/>
  <c r="B265" i="56"/>
  <c r="B218" i="56"/>
  <c r="B219" i="56"/>
  <c r="B183" i="56"/>
  <c r="B184" i="56"/>
  <c r="B141" i="56"/>
  <c r="B142" i="56"/>
  <c r="B108" i="56"/>
  <c r="B109" i="56"/>
  <c r="L87" i="56"/>
  <c r="L86" i="56"/>
  <c r="B86" i="56"/>
  <c r="B87" i="56"/>
  <c r="L29" i="56"/>
  <c r="L28" i="56"/>
  <c r="B28" i="56"/>
  <c r="B29" i="56"/>
  <c r="L61" i="56" l="1"/>
  <c r="B61" i="56"/>
  <c r="L69" i="56"/>
  <c r="L68" i="56"/>
  <c r="L67" i="56"/>
  <c r="L66" i="56"/>
  <c r="L65" i="56"/>
  <c r="L64" i="56"/>
  <c r="L63" i="56"/>
  <c r="L62" i="56"/>
  <c r="L60" i="56"/>
  <c r="B63" i="56"/>
  <c r="B64" i="56"/>
  <c r="B65" i="56"/>
  <c r="B66" i="56"/>
  <c r="B67" i="56"/>
  <c r="B62" i="56"/>
  <c r="B68" i="56"/>
  <c r="B69" i="56"/>
  <c r="B60" i="56"/>
  <c r="B11" i="56"/>
  <c r="L11" i="56"/>
  <c r="B10" i="56"/>
  <c r="L10" i="56"/>
  <c r="B9" i="56"/>
  <c r="L9" i="56"/>
  <c r="L302" i="56" l="1"/>
  <c r="L301" i="56"/>
  <c r="L300" i="56"/>
  <c r="L297" i="56"/>
  <c r="L296" i="56"/>
  <c r="L295" i="56"/>
  <c r="L294" i="56"/>
  <c r="L293" i="56"/>
  <c r="L292" i="56"/>
  <c r="L291" i="56"/>
  <c r="L290" i="56"/>
  <c r="L289" i="56"/>
  <c r="L286" i="56"/>
  <c r="L285" i="56"/>
  <c r="L284" i="56"/>
  <c r="L283" i="56"/>
  <c r="L282" i="56"/>
  <c r="L281" i="56"/>
  <c r="L280" i="56"/>
  <c r="L279" i="56"/>
  <c r="L278" i="56"/>
  <c r="L275" i="56"/>
  <c r="L274" i="56"/>
  <c r="L273" i="56"/>
  <c r="L272" i="56"/>
  <c r="L271" i="56"/>
  <c r="L270" i="56"/>
  <c r="L269" i="56"/>
  <c r="L268" i="56"/>
  <c r="L267" i="56"/>
  <c r="L266" i="56"/>
  <c r="L263" i="56"/>
  <c r="L262" i="56"/>
  <c r="L261" i="56"/>
  <c r="L260" i="56"/>
  <c r="L259" i="56"/>
  <c r="L258" i="56"/>
  <c r="L257" i="56"/>
  <c r="L256" i="56"/>
  <c r="L255" i="56"/>
  <c r="L254" i="56"/>
  <c r="L251" i="56"/>
  <c r="L250" i="56"/>
  <c r="L249" i="56"/>
  <c r="L248" i="56"/>
  <c r="L247" i="56"/>
  <c r="L246" i="56"/>
  <c r="L245" i="56"/>
  <c r="L244" i="56"/>
  <c r="L243" i="56"/>
  <c r="L240" i="56"/>
  <c r="L239" i="56"/>
  <c r="L238" i="56"/>
  <c r="L237" i="56"/>
  <c r="L236" i="56"/>
  <c r="L235" i="56"/>
  <c r="L234" i="56"/>
  <c r="L233" i="56"/>
  <c r="L232" i="56"/>
  <c r="L231" i="56"/>
  <c r="L228" i="56"/>
  <c r="L227" i="56"/>
  <c r="L226" i="56"/>
  <c r="L225" i="56"/>
  <c r="L224" i="56"/>
  <c r="L223" i="56"/>
  <c r="B284" i="56"/>
  <c r="B283" i="56"/>
  <c r="B285" i="56"/>
  <c r="B286" i="56"/>
  <c r="B289" i="56"/>
  <c r="B282" i="56"/>
  <c r="B290" i="56"/>
  <c r="B281" i="56"/>
  <c r="B273" i="56"/>
  <c r="B274" i="56"/>
  <c r="B272" i="56"/>
  <c r="B271" i="56"/>
  <c r="B269" i="56"/>
  <c r="B270" i="56"/>
  <c r="B275" i="56"/>
  <c r="B278" i="56"/>
  <c r="B279" i="56"/>
  <c r="B258" i="56"/>
  <c r="B261" i="56"/>
  <c r="B262" i="56"/>
  <c r="B260" i="56"/>
  <c r="B259" i="56"/>
  <c r="B263" i="56"/>
  <c r="B257" i="56"/>
  <c r="B267" i="56"/>
  <c r="B266" i="56"/>
  <c r="B249" i="56"/>
  <c r="B248" i="56"/>
  <c r="B250" i="56"/>
  <c r="B247" i="56"/>
  <c r="B246" i="56"/>
  <c r="B251" i="56"/>
  <c r="B254" i="56"/>
  <c r="B255" i="56"/>
  <c r="B236" i="56"/>
  <c r="B235" i="56"/>
  <c r="B237" i="56"/>
  <c r="B238" i="56"/>
  <c r="B239" i="56"/>
  <c r="B240" i="56"/>
  <c r="B234" i="56"/>
  <c r="B243" i="56"/>
  <c r="B244" i="56"/>
  <c r="B226" i="56"/>
  <c r="B227" i="56"/>
  <c r="B223" i="56"/>
  <c r="B225" i="56"/>
  <c r="B224" i="56"/>
  <c r="B228" i="56"/>
  <c r="B231" i="56"/>
  <c r="B232" i="56"/>
  <c r="L222" i="56"/>
  <c r="L221" i="56"/>
  <c r="L220" i="56"/>
  <c r="L217" i="56"/>
  <c r="L216" i="56"/>
  <c r="L215" i="56"/>
  <c r="L214" i="56"/>
  <c r="L213" i="56"/>
  <c r="L212" i="56"/>
  <c r="L211" i="56"/>
  <c r="L210" i="56"/>
  <c r="L209" i="56"/>
  <c r="L208" i="56"/>
  <c r="L207" i="56"/>
  <c r="L204" i="56"/>
  <c r="L203" i="56"/>
  <c r="L202" i="56"/>
  <c r="L201" i="56"/>
  <c r="L200" i="56"/>
  <c r="L199" i="56"/>
  <c r="L198" i="56"/>
  <c r="L197" i="56"/>
  <c r="L196" i="56"/>
  <c r="L195" i="56"/>
  <c r="L192" i="56"/>
  <c r="L191" i="56"/>
  <c r="L190" i="56"/>
  <c r="L189" i="56"/>
  <c r="L188" i="56"/>
  <c r="B214" i="56"/>
  <c r="B215" i="56"/>
  <c r="B213" i="56"/>
  <c r="B212" i="56"/>
  <c r="B216" i="56"/>
  <c r="B211" i="56"/>
  <c r="B217" i="56"/>
  <c r="B220" i="56"/>
  <c r="B221" i="56"/>
  <c r="B201" i="56"/>
  <c r="B202" i="56"/>
  <c r="B203" i="56"/>
  <c r="B200" i="56"/>
  <c r="B204" i="56"/>
  <c r="B207" i="56"/>
  <c r="B199" i="56"/>
  <c r="B208" i="56"/>
  <c r="B209" i="56"/>
  <c r="B190" i="56"/>
  <c r="B188" i="56"/>
  <c r="B189" i="56"/>
  <c r="B191" i="56"/>
  <c r="B192" i="56"/>
  <c r="B196" i="56"/>
  <c r="B195" i="56"/>
  <c r="B197" i="56"/>
  <c r="L187" i="56"/>
  <c r="L186" i="56"/>
  <c r="L185" i="56"/>
  <c r="L182" i="56"/>
  <c r="L181" i="56"/>
  <c r="L180" i="56"/>
  <c r="L179" i="56"/>
  <c r="L178" i="56"/>
  <c r="L177" i="56"/>
  <c r="L176" i="56"/>
  <c r="L175" i="56"/>
  <c r="L174" i="56"/>
  <c r="L173" i="56"/>
  <c r="L172" i="56"/>
  <c r="L171" i="56"/>
  <c r="L170" i="56"/>
  <c r="L169" i="56"/>
  <c r="L168" i="56"/>
  <c r="L167" i="56"/>
  <c r="B179" i="56"/>
  <c r="B178" i="56"/>
  <c r="B177" i="56"/>
  <c r="B180" i="56"/>
  <c r="B176" i="56"/>
  <c r="B181" i="56"/>
  <c r="B182" i="56"/>
  <c r="B185" i="56"/>
  <c r="B186" i="56"/>
  <c r="B168" i="56"/>
  <c r="B169" i="56"/>
  <c r="B170" i="56"/>
  <c r="B167" i="56"/>
  <c r="B171" i="56"/>
  <c r="B172" i="56"/>
  <c r="B173" i="56"/>
  <c r="B174" i="56"/>
  <c r="L166" i="56"/>
  <c r="B175" i="56"/>
  <c r="B187" i="56"/>
  <c r="B198" i="56"/>
  <c r="B210" i="56"/>
  <c r="B222" i="56"/>
  <c r="L165" i="56"/>
  <c r="L164" i="56"/>
  <c r="L163" i="56"/>
  <c r="L162" i="56"/>
  <c r="L161" i="56"/>
  <c r="L160" i="56"/>
  <c r="L159" i="56"/>
  <c r="L158" i="56"/>
  <c r="L157" i="56"/>
  <c r="L156" i="56"/>
  <c r="L155" i="56"/>
  <c r="L154" i="56"/>
  <c r="L153" i="56"/>
  <c r="L150" i="56"/>
  <c r="L149" i="56"/>
  <c r="L148" i="56"/>
  <c r="L147" i="56"/>
  <c r="L146" i="56"/>
  <c r="B153" i="56"/>
  <c r="B146" i="56"/>
  <c r="B147" i="56"/>
  <c r="B148" i="56"/>
  <c r="B149" i="56"/>
  <c r="B150" i="56"/>
  <c r="B154" i="56"/>
  <c r="B155" i="56"/>
  <c r="L145" i="56"/>
  <c r="B156" i="56"/>
  <c r="B157" i="56"/>
  <c r="B158" i="56"/>
  <c r="B159" i="56"/>
  <c r="L144" i="56"/>
  <c r="L143" i="56"/>
  <c r="L140" i="56"/>
  <c r="L139" i="56"/>
  <c r="L138" i="56"/>
  <c r="L137" i="56"/>
  <c r="L136" i="56"/>
  <c r="L135" i="56"/>
  <c r="L134" i="56"/>
  <c r="L133" i="56"/>
  <c r="L132" i="56"/>
  <c r="L131" i="56"/>
  <c r="L128" i="56"/>
  <c r="L127" i="56"/>
  <c r="L126" i="56"/>
  <c r="L125" i="56"/>
  <c r="L124" i="56"/>
  <c r="L123" i="56"/>
  <c r="L122" i="56"/>
  <c r="L121" i="56"/>
  <c r="L120" i="56"/>
  <c r="L119" i="56"/>
  <c r="L118" i="56"/>
  <c r="L117" i="56"/>
  <c r="L116" i="56"/>
  <c r="L115" i="56"/>
  <c r="L114" i="56"/>
  <c r="L113" i="56"/>
  <c r="L112" i="56"/>
  <c r="L111" i="56"/>
  <c r="L110" i="56"/>
  <c r="L107" i="56"/>
  <c r="L106" i="56"/>
  <c r="L105" i="56"/>
  <c r="L104" i="56"/>
  <c r="L103" i="56"/>
  <c r="L102" i="56"/>
  <c r="L101" i="56"/>
  <c r="L100" i="56"/>
  <c r="L99" i="56"/>
  <c r="L98" i="56"/>
  <c r="L97" i="56"/>
  <c r="L96" i="56"/>
  <c r="L95" i="56"/>
  <c r="L94" i="56"/>
  <c r="L93" i="56"/>
  <c r="L92" i="56"/>
  <c r="L91" i="56"/>
  <c r="L90" i="56"/>
  <c r="L89" i="56"/>
  <c r="L88" i="56"/>
  <c r="L85" i="56"/>
  <c r="L84" i="56"/>
  <c r="L83" i="56"/>
  <c r="L82" i="56"/>
  <c r="L81" i="56"/>
  <c r="L80" i="56"/>
  <c r="B135" i="56"/>
  <c r="B136" i="56"/>
  <c r="B134" i="56"/>
  <c r="B137" i="56"/>
  <c r="B138" i="56"/>
  <c r="B139" i="56"/>
  <c r="B140" i="56"/>
  <c r="B143" i="56"/>
  <c r="B144" i="56"/>
  <c r="B124" i="56"/>
  <c r="B125" i="56"/>
  <c r="B123" i="56"/>
  <c r="B126" i="56"/>
  <c r="B127" i="56"/>
  <c r="B128" i="56"/>
  <c r="B131" i="56"/>
  <c r="B132" i="56"/>
  <c r="B116" i="56"/>
  <c r="B114" i="56"/>
  <c r="B115" i="56"/>
  <c r="B113" i="56"/>
  <c r="B117" i="56"/>
  <c r="B118" i="56"/>
  <c r="B119" i="56"/>
  <c r="B120" i="56"/>
  <c r="B121" i="56"/>
  <c r="B102" i="56"/>
  <c r="B103" i="56"/>
  <c r="B104" i="56"/>
  <c r="B105" i="56"/>
  <c r="B106" i="56"/>
  <c r="B107" i="56"/>
  <c r="B110" i="56"/>
  <c r="B111" i="56"/>
  <c r="B83" i="56"/>
  <c r="L79" i="56"/>
  <c r="L78" i="56"/>
  <c r="L77" i="56"/>
  <c r="L76" i="56"/>
  <c r="L75" i="56"/>
  <c r="L74" i="56"/>
  <c r="L73" i="56"/>
  <c r="L72" i="56"/>
  <c r="L71" i="56"/>
  <c r="L70" i="56"/>
  <c r="B95" i="56"/>
  <c r="B92" i="56"/>
  <c r="B93" i="56"/>
  <c r="B94" i="56"/>
  <c r="B97" i="56"/>
  <c r="B98" i="56"/>
  <c r="B96" i="56"/>
  <c r="B99" i="56"/>
  <c r="B100" i="56"/>
  <c r="B85" i="56"/>
  <c r="B89" i="56"/>
  <c r="B81" i="56"/>
  <c r="B82" i="56"/>
  <c r="B84" i="56"/>
  <c r="B88" i="56"/>
  <c r="B90" i="56"/>
  <c r="B73" i="56"/>
  <c r="B72" i="56"/>
  <c r="B74" i="56"/>
  <c r="B75" i="56"/>
  <c r="B76" i="56"/>
  <c r="B77" i="56"/>
  <c r="B71" i="56"/>
  <c r="B78" i="56"/>
  <c r="B79" i="56"/>
  <c r="L59" i="56"/>
  <c r="L58" i="56"/>
  <c r="L57" i="56"/>
  <c r="L56" i="56"/>
  <c r="L55" i="56"/>
  <c r="L54" i="56"/>
  <c r="L53" i="56"/>
  <c r="L52" i="56"/>
  <c r="L51" i="56"/>
  <c r="L50" i="56"/>
  <c r="L49" i="56"/>
  <c r="L48" i="56"/>
  <c r="L47" i="56"/>
  <c r="L46" i="56"/>
  <c r="L45" i="56"/>
  <c r="L44" i="56"/>
  <c r="L43" i="56"/>
  <c r="L42" i="56"/>
  <c r="L41" i="56"/>
  <c r="L40" i="56"/>
  <c r="L39" i="56"/>
  <c r="L38" i="56"/>
  <c r="L37" i="56"/>
  <c r="L36" i="56"/>
  <c r="L35" i="56"/>
  <c r="L34" i="56"/>
  <c r="L33" i="56"/>
  <c r="L32" i="56"/>
  <c r="B32" i="56"/>
  <c r="L31" i="56"/>
  <c r="L30" i="56"/>
  <c r="L27" i="56"/>
  <c r="L26" i="56"/>
  <c r="L25" i="56"/>
  <c r="L24" i="56"/>
  <c r="L23" i="56"/>
  <c r="L22" i="56"/>
  <c r="L21" i="56"/>
  <c r="L20" i="56"/>
  <c r="L19" i="56"/>
  <c r="L18" i="56"/>
  <c r="L17" i="56"/>
  <c r="L16" i="56"/>
  <c r="L15" i="56"/>
  <c r="L14" i="56"/>
  <c r="L13" i="56"/>
  <c r="L12" i="56"/>
  <c r="B42" i="56"/>
  <c r="B45" i="56"/>
  <c r="B46" i="56"/>
  <c r="B47" i="56"/>
  <c r="B48" i="56"/>
  <c r="B44" i="56"/>
  <c r="B49" i="56"/>
  <c r="B43" i="56"/>
  <c r="B50" i="56"/>
  <c r="B33" i="56"/>
  <c r="B34" i="56"/>
  <c r="B35" i="56"/>
  <c r="B36" i="56"/>
  <c r="B37" i="56"/>
  <c r="B38" i="56"/>
  <c r="B39" i="56"/>
  <c r="B40" i="56"/>
  <c r="B24" i="56"/>
  <c r="B22" i="56"/>
  <c r="B23" i="56"/>
  <c r="B25" i="56"/>
  <c r="B21" i="56"/>
  <c r="B26" i="56"/>
  <c r="B27" i="56"/>
  <c r="B30" i="56"/>
  <c r="B31" i="56"/>
  <c r="B14" i="56"/>
  <c r="B13" i="56"/>
  <c r="B12" i="56"/>
  <c r="B16" i="56"/>
  <c r="B17" i="56"/>
  <c r="B15" i="56"/>
  <c r="B18" i="56"/>
  <c r="B19" i="56"/>
  <c r="C10" i="58" l="1"/>
  <c r="K10" i="58"/>
  <c r="D11" i="58"/>
  <c r="D12" i="58"/>
  <c r="E12" i="58" s="1"/>
  <c r="C13" i="58"/>
  <c r="K13" i="58"/>
  <c r="D14" i="58"/>
  <c r="D13" i="58" s="1"/>
  <c r="C15" i="58"/>
  <c r="K15" i="58"/>
  <c r="D16" i="58"/>
  <c r="E16" i="58"/>
  <c r="D17" i="58"/>
  <c r="E17" i="58" s="1"/>
  <c r="I17" i="58" s="1"/>
  <c r="D18" i="58"/>
  <c r="E18" i="58" s="1"/>
  <c r="D19" i="58"/>
  <c r="E19" i="58" s="1"/>
  <c r="D20" i="58"/>
  <c r="E20" i="58" s="1"/>
  <c r="D21" i="58"/>
  <c r="E21" i="58" s="1"/>
  <c r="D22" i="58"/>
  <c r="E22" i="58" s="1"/>
  <c r="D23" i="58"/>
  <c r="E23" i="58"/>
  <c r="D24" i="58"/>
  <c r="E24" i="58" s="1"/>
  <c r="D25" i="58"/>
  <c r="E25" i="58" s="1"/>
  <c r="D26" i="58"/>
  <c r="E26" i="58" s="1"/>
  <c r="G26" i="58" s="1"/>
  <c r="D27" i="58"/>
  <c r="E27" i="58"/>
  <c r="D28" i="58"/>
  <c r="E28" i="58"/>
  <c r="D29" i="58"/>
  <c r="E29" i="58" s="1"/>
  <c r="C30" i="58"/>
  <c r="K30" i="58"/>
  <c r="D31" i="58"/>
  <c r="D30" i="58" s="1"/>
  <c r="E31" i="58"/>
  <c r="G31" i="58" s="1"/>
  <c r="G30" i="58" s="1"/>
  <c r="F31" i="58"/>
  <c r="D32" i="58"/>
  <c r="E32" i="58"/>
  <c r="F32" i="58"/>
  <c r="G32" i="58"/>
  <c r="H32" i="58"/>
  <c r="I32" i="58"/>
  <c r="D35" i="58"/>
  <c r="G35" i="58" s="1"/>
  <c r="F35" i="58"/>
  <c r="D36" i="58"/>
  <c r="F36" i="58"/>
  <c r="G36" i="58"/>
  <c r="D37" i="58"/>
  <c r="G37" i="58" s="1"/>
  <c r="F37" i="58"/>
  <c r="G12" i="58" l="1"/>
  <c r="F12" i="58"/>
  <c r="G20" i="58"/>
  <c r="F20" i="58"/>
  <c r="D10" i="58"/>
  <c r="E14" i="58"/>
  <c r="I21" i="58"/>
  <c r="H21" i="58"/>
  <c r="F21" i="58"/>
  <c r="G21" i="58"/>
  <c r="F30" i="58"/>
  <c r="E30" i="58"/>
  <c r="F26" i="58"/>
  <c r="F17" i="58"/>
  <c r="D15" i="58"/>
  <c r="G14" i="58"/>
  <c r="G13" i="58" s="1"/>
  <c r="H17" i="58"/>
  <c r="G17" i="58"/>
  <c r="H14" i="58"/>
  <c r="H13" i="58" s="1"/>
  <c r="E13" i="58"/>
  <c r="F25" i="58"/>
  <c r="I25" i="58"/>
  <c r="G25" i="58"/>
  <c r="H25" i="58"/>
  <c r="I24" i="58"/>
  <c r="F24" i="58"/>
  <c r="G24" i="58"/>
  <c r="H24" i="58"/>
  <c r="H22" i="58"/>
  <c r="F22" i="58"/>
  <c r="G22" i="58"/>
  <c r="I22" i="58"/>
  <c r="F19" i="58"/>
  <c r="G19" i="58"/>
  <c r="H19" i="58"/>
  <c r="I19" i="58"/>
  <c r="G18" i="58"/>
  <c r="H18" i="58"/>
  <c r="F18" i="58"/>
  <c r="I18" i="58"/>
  <c r="F29" i="58"/>
  <c r="I29" i="58"/>
  <c r="G29" i="58"/>
  <c r="H29" i="58"/>
  <c r="E15" i="58"/>
  <c r="I31" i="58"/>
  <c r="I30" i="58" s="1"/>
  <c r="I26" i="58"/>
  <c r="I20" i="58"/>
  <c r="I12" i="58"/>
  <c r="H31" i="58"/>
  <c r="H30" i="58" s="1"/>
  <c r="H26" i="58"/>
  <c r="H20" i="58"/>
  <c r="H12" i="58"/>
  <c r="E11" i="58"/>
  <c r="Q11" i="55"/>
  <c r="Q10" i="55"/>
  <c r="Q14" i="55"/>
  <c r="Q13" i="55"/>
  <c r="Q12" i="55"/>
  <c r="Q100" i="55"/>
  <c r="Q99" i="55"/>
  <c r="Q98" i="55"/>
  <c r="Q97" i="55"/>
  <c r="Q96" i="55"/>
  <c r="Q95" i="55"/>
  <c r="Q94" i="55"/>
  <c r="Q93" i="55"/>
  <c r="Q92" i="55"/>
  <c r="Q101" i="55"/>
  <c r="Q102" i="55"/>
  <c r="Q103" i="55"/>
  <c r="Q104" i="55"/>
  <c r="Q105" i="55"/>
  <c r="Q106" i="55"/>
  <c r="Q107" i="55"/>
  <c r="Q108" i="55"/>
  <c r="Q88" i="55"/>
  <c r="Q89" i="55"/>
  <c r="Q57" i="55"/>
  <c r="Q58" i="55"/>
  <c r="Q78" i="55"/>
  <c r="Q79" i="55"/>
  <c r="Q71" i="55"/>
  <c r="Q72" i="55"/>
  <c r="Q73" i="55"/>
  <c r="Q74" i="55"/>
  <c r="Q75" i="55"/>
  <c r="Q76" i="55"/>
  <c r="Q77" i="55"/>
  <c r="Q117" i="55"/>
  <c r="Q118" i="55"/>
  <c r="Q37" i="55"/>
  <c r="Q38" i="55"/>
  <c r="Q39" i="55"/>
  <c r="Q40" i="55"/>
  <c r="Q41" i="55"/>
  <c r="Q42" i="55"/>
  <c r="Q43" i="55"/>
  <c r="Q44" i="55"/>
  <c r="Q45" i="55"/>
  <c r="Q46" i="55"/>
  <c r="Q47" i="55"/>
  <c r="Q48" i="55"/>
  <c r="Q49" i="55"/>
  <c r="Q50" i="55"/>
  <c r="Q51" i="55"/>
  <c r="Q52" i="55"/>
  <c r="Q53" i="55"/>
  <c r="Q54" i="55"/>
  <c r="Q55" i="55"/>
  <c r="Q56" i="55"/>
  <c r="Q59" i="55"/>
  <c r="Q60" i="55"/>
  <c r="Q61" i="55"/>
  <c r="Q29" i="55"/>
  <c r="Q30" i="55"/>
  <c r="Q31" i="55"/>
  <c r="Q32" i="55"/>
  <c r="Q33" i="55"/>
  <c r="Q34" i="55"/>
  <c r="Q35" i="55"/>
  <c r="Q36" i="55"/>
  <c r="Q62" i="55"/>
  <c r="Q63" i="55"/>
  <c r="Q64" i="55"/>
  <c r="Q65" i="55"/>
  <c r="Q66" i="55"/>
  <c r="Q67" i="55"/>
  <c r="Q68" i="55"/>
  <c r="Q69" i="55"/>
  <c r="Q70" i="55"/>
  <c r="Q18" i="55"/>
  <c r="G15" i="58" l="1"/>
  <c r="I14" i="58"/>
  <c r="I13" i="58" s="1"/>
  <c r="F14" i="58"/>
  <c r="F13" i="58" s="1"/>
  <c r="I15" i="58"/>
  <c r="H15" i="58"/>
  <c r="F15" i="58"/>
  <c r="E10" i="58"/>
  <c r="F11" i="58"/>
  <c r="F10" i="58" s="1"/>
  <c r="G11" i="58"/>
  <c r="G10" i="58" s="1"/>
  <c r="H11" i="58"/>
  <c r="H10" i="58" s="1"/>
  <c r="I11" i="58"/>
  <c r="I10" i="58" s="1"/>
  <c r="H285" i="53"/>
  <c r="I285" i="53"/>
  <c r="G232" i="53"/>
  <c r="G225" i="53"/>
  <c r="J231" i="53"/>
  <c r="J226" i="53"/>
  <c r="H205" i="53"/>
  <c r="I205" i="53"/>
  <c r="H193" i="53"/>
  <c r="I193" i="53"/>
  <c r="J169" i="53"/>
  <c r="J168" i="53"/>
  <c r="J151" i="53"/>
  <c r="G150" i="53"/>
  <c r="J111" i="53"/>
  <c r="J64" i="53"/>
  <c r="J56" i="53"/>
  <c r="J23" i="53"/>
  <c r="J24" i="53"/>
  <c r="J25" i="53"/>
  <c r="H26" i="53"/>
  <c r="I26" i="53"/>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N22" i="49"/>
  <c r="G26" i="49"/>
  <c r="H26" i="49"/>
  <c r="G37" i="49"/>
  <c r="G45" i="49"/>
  <c r="H45" i="49"/>
  <c r="M319" i="49"/>
  <c r="K319" i="49"/>
  <c r="G13" i="53"/>
  <c r="G11" i="53"/>
  <c r="G9" i="53"/>
  <c r="F20" i="52"/>
  <c r="G131" i="49"/>
  <c r="G126" i="49"/>
  <c r="H327" i="49"/>
  <c r="I327" i="49"/>
  <c r="I326" i="49" s="1"/>
  <c r="I325" i="49" s="1"/>
  <c r="J327" i="49"/>
  <c r="J326" i="49" s="1"/>
  <c r="J325" i="49" s="1"/>
  <c r="K327" i="49"/>
  <c r="K326" i="49" s="1"/>
  <c r="K325" i="49" s="1"/>
  <c r="L327" i="49"/>
  <c r="M327" i="49"/>
  <c r="M326" i="49" s="1"/>
  <c r="M325" i="49" s="1"/>
  <c r="H326" i="49"/>
  <c r="H325" i="49" s="1"/>
  <c r="L326" i="49"/>
  <c r="L325" i="49" s="1"/>
  <c r="N328" i="49"/>
  <c r="N327" i="49" s="1"/>
  <c r="N326" i="49" s="1"/>
  <c r="N325" i="49" s="1"/>
  <c r="J326" i="53"/>
  <c r="H324" i="53"/>
  <c r="H323" i="53" s="1"/>
  <c r="I324" i="53"/>
  <c r="I323" i="53" s="1"/>
  <c r="H325" i="53"/>
  <c r="I325" i="53"/>
  <c r="H321" i="53"/>
  <c r="I321" i="53"/>
  <c r="H319" i="53"/>
  <c r="I319" i="53"/>
  <c r="H317" i="53"/>
  <c r="I317" i="53"/>
  <c r="J316" i="53"/>
  <c r="J318" i="53"/>
  <c r="J317" i="53" s="1"/>
  <c r="J320" i="53"/>
  <c r="J319" i="53" s="1"/>
  <c r="J322" i="53"/>
  <c r="J321" i="53" s="1"/>
  <c r="G314" i="53"/>
  <c r="H311" i="53"/>
  <c r="H310" i="53" s="1"/>
  <c r="I311" i="53"/>
  <c r="I310" i="53" s="1"/>
  <c r="H308" i="53"/>
  <c r="I308" i="53"/>
  <c r="H306" i="53"/>
  <c r="I306" i="53"/>
  <c r="H304" i="53"/>
  <c r="I304" i="53"/>
  <c r="H302" i="53"/>
  <c r="I302" i="53"/>
  <c r="H299" i="53"/>
  <c r="I299" i="53"/>
  <c r="H297" i="53"/>
  <c r="I297" i="53"/>
  <c r="H295" i="53"/>
  <c r="I295" i="53"/>
  <c r="H292" i="53"/>
  <c r="I292" i="53"/>
  <c r="H290" i="53"/>
  <c r="I290" i="53"/>
  <c r="H283" i="53"/>
  <c r="I283" i="53"/>
  <c r="H280" i="53"/>
  <c r="I280" i="53"/>
  <c r="H278" i="53"/>
  <c r="I278" i="53"/>
  <c r="H276" i="53"/>
  <c r="I276" i="53"/>
  <c r="H274" i="53"/>
  <c r="I274" i="53"/>
  <c r="G272" i="53"/>
  <c r="I272" i="53"/>
  <c r="H268" i="53"/>
  <c r="I268" i="53"/>
  <c r="H266" i="53"/>
  <c r="I266" i="53"/>
  <c r="H263" i="53"/>
  <c r="H262" i="53" s="1"/>
  <c r="I263" i="53"/>
  <c r="I262" i="53" s="1"/>
  <c r="H260" i="53"/>
  <c r="I260" i="53"/>
  <c r="G255" i="53"/>
  <c r="H255" i="53"/>
  <c r="I255" i="53"/>
  <c r="H252" i="53"/>
  <c r="I252" i="53"/>
  <c r="H250" i="53"/>
  <c r="I250" i="53"/>
  <c r="H248" i="53"/>
  <c r="I248" i="53"/>
  <c r="H246" i="53"/>
  <c r="I246" i="53"/>
  <c r="G244" i="53"/>
  <c r="H244" i="53"/>
  <c r="I244" i="53"/>
  <c r="J242" i="53"/>
  <c r="G241" i="53"/>
  <c r="H241" i="53"/>
  <c r="I241" i="53"/>
  <c r="J239" i="53"/>
  <c r="G238" i="53"/>
  <c r="H238" i="53"/>
  <c r="I238" i="53"/>
  <c r="I237" i="53" s="1"/>
  <c r="J233" i="53"/>
  <c r="J234" i="53"/>
  <c r="J235" i="53"/>
  <c r="J236" i="53"/>
  <c r="J240" i="53"/>
  <c r="J238" i="53" s="1"/>
  <c r="J243" i="53"/>
  <c r="J245" i="53"/>
  <c r="J244" i="53" s="1"/>
  <c r="J247" i="53"/>
  <c r="J246" i="53" s="1"/>
  <c r="J249" i="53"/>
  <c r="J248" i="53" s="1"/>
  <c r="J251" i="53"/>
  <c r="J250" i="53" s="1"/>
  <c r="J253" i="53"/>
  <c r="J252" i="53" s="1"/>
  <c r="J256" i="53"/>
  <c r="J257" i="53"/>
  <c r="J261" i="53"/>
  <c r="J260" i="53" s="1"/>
  <c r="J264" i="53"/>
  <c r="J263" i="53" s="1"/>
  <c r="J262" i="53" s="1"/>
  <c r="H232" i="53"/>
  <c r="I232" i="53"/>
  <c r="J227" i="53"/>
  <c r="H225" i="53"/>
  <c r="I225" i="53"/>
  <c r="I224" i="53" s="1"/>
  <c r="J223" i="53"/>
  <c r="H222" i="53"/>
  <c r="I222" i="53"/>
  <c r="G218" i="53"/>
  <c r="J220" i="53"/>
  <c r="J221" i="53"/>
  <c r="J222" i="53"/>
  <c r="J228" i="53"/>
  <c r="J229" i="53"/>
  <c r="J230" i="53"/>
  <c r="J219" i="53"/>
  <c r="H218" i="53"/>
  <c r="I218" i="53"/>
  <c r="H214" i="53"/>
  <c r="I214" i="53"/>
  <c r="H210" i="53"/>
  <c r="I210" i="53"/>
  <c r="H207" i="53"/>
  <c r="I207" i="53"/>
  <c r="H203" i="53"/>
  <c r="I203" i="53"/>
  <c r="H201" i="53"/>
  <c r="I201" i="53"/>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H180" i="53"/>
  <c r="I180" i="53"/>
  <c r="I179" i="53" s="1"/>
  <c r="J180" i="53"/>
  <c r="H177" i="53"/>
  <c r="I177" i="53"/>
  <c r="H174" i="53"/>
  <c r="H171" i="53" s="1"/>
  <c r="I174" i="53"/>
  <c r="I172" i="53"/>
  <c r="G167" i="53"/>
  <c r="H167" i="53"/>
  <c r="I167" i="53"/>
  <c r="G164" i="53"/>
  <c r="H164" i="53"/>
  <c r="I164" i="53"/>
  <c r="J158" i="53"/>
  <c r="G157" i="53"/>
  <c r="H154" i="53"/>
  <c r="I154" i="53"/>
  <c r="J153" i="53"/>
  <c r="J152" i="53"/>
  <c r="J155" i="53"/>
  <c r="J156" i="53"/>
  <c r="J159" i="53"/>
  <c r="J160" i="53"/>
  <c r="J161" i="53"/>
  <c r="J162" i="53"/>
  <c r="J163" i="53"/>
  <c r="J165" i="53"/>
  <c r="H150" i="53"/>
  <c r="I150" i="53"/>
  <c r="J149" i="53"/>
  <c r="J148" i="53" s="1"/>
  <c r="H148" i="53"/>
  <c r="I148" i="53"/>
  <c r="J147" i="53"/>
  <c r="J146" i="53" s="1"/>
  <c r="H146" i="53"/>
  <c r="I146" i="53"/>
  <c r="H144" i="53"/>
  <c r="I144" i="53"/>
  <c r="J142" i="53"/>
  <c r="J141" i="53" s="1"/>
  <c r="H141" i="53"/>
  <c r="I141" i="53"/>
  <c r="J133" i="53"/>
  <c r="J134" i="53"/>
  <c r="J135" i="53"/>
  <c r="J136" i="53"/>
  <c r="J137" i="53"/>
  <c r="J138" i="53"/>
  <c r="J139" i="53"/>
  <c r="G131" i="53"/>
  <c r="H131" i="53"/>
  <c r="I131" i="53"/>
  <c r="J128" i="53"/>
  <c r="J129" i="53"/>
  <c r="J130" i="53"/>
  <c r="G126" i="53"/>
  <c r="H126" i="53"/>
  <c r="I126" i="53"/>
  <c r="H123" i="53"/>
  <c r="I123" i="53"/>
  <c r="H121" i="53"/>
  <c r="I121" i="53"/>
  <c r="H119" i="53"/>
  <c r="I119" i="53"/>
  <c r="H117" i="53"/>
  <c r="I117" i="53"/>
  <c r="H114" i="53"/>
  <c r="I114" i="53"/>
  <c r="H110" i="53"/>
  <c r="I110" i="53"/>
  <c r="J110" i="53"/>
  <c r="G104" i="53"/>
  <c r="J106" i="53"/>
  <c r="J107" i="53"/>
  <c r="J108" i="53"/>
  <c r="J109" i="53"/>
  <c r="J105" i="53"/>
  <c r="H104" i="53"/>
  <c r="I104" i="53"/>
  <c r="H102" i="53"/>
  <c r="I102" i="53"/>
  <c r="H100" i="53"/>
  <c r="I100" i="53"/>
  <c r="H97" i="53"/>
  <c r="I97" i="53"/>
  <c r="H95" i="53"/>
  <c r="I95" i="53"/>
  <c r="H93" i="53"/>
  <c r="I93" i="53"/>
  <c r="I92" i="53" s="1"/>
  <c r="J91" i="53"/>
  <c r="H90" i="53"/>
  <c r="I90" i="53"/>
  <c r="J90" i="53"/>
  <c r="J89" i="53"/>
  <c r="H88" i="53"/>
  <c r="I88" i="53"/>
  <c r="I87" i="53" s="1"/>
  <c r="J88" i="53"/>
  <c r="H83" i="53"/>
  <c r="I83" i="53"/>
  <c r="J81" i="53"/>
  <c r="J80" i="53" s="1"/>
  <c r="H80" i="53"/>
  <c r="I80" i="53"/>
  <c r="J79" i="53"/>
  <c r="J78" i="53" s="1"/>
  <c r="H78" i="53"/>
  <c r="I78" i="53"/>
  <c r="G75" i="53"/>
  <c r="H71" i="53"/>
  <c r="I71" i="53"/>
  <c r="H73" i="53"/>
  <c r="I73" i="53"/>
  <c r="H75" i="53"/>
  <c r="I75" i="53"/>
  <c r="J70" i="53"/>
  <c r="J69" i="53" s="1"/>
  <c r="H69" i="53"/>
  <c r="I69" i="53"/>
  <c r="H65" i="53"/>
  <c r="I65" i="53"/>
  <c r="H63" i="53"/>
  <c r="I63" i="53"/>
  <c r="J63" i="53"/>
  <c r="H59" i="53"/>
  <c r="I59" i="53"/>
  <c r="H45" i="53"/>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4" i="53"/>
  <c r="J33" i="53" s="1"/>
  <c r="J28" i="53"/>
  <c r="J29" i="53"/>
  <c r="J30" i="53"/>
  <c r="J31" i="53"/>
  <c r="J32" i="53"/>
  <c r="G21" i="53"/>
  <c r="G325" i="53"/>
  <c r="G324" i="53" s="1"/>
  <c r="G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4" i="53"/>
  <c r="G222" i="53"/>
  <c r="G214" i="53"/>
  <c r="G210" i="53"/>
  <c r="G207" i="53"/>
  <c r="G205" i="53"/>
  <c r="G203" i="53"/>
  <c r="G201" i="53"/>
  <c r="G198" i="53"/>
  <c r="G197" i="53" s="1"/>
  <c r="G195" i="53"/>
  <c r="G193" i="53"/>
  <c r="J193" i="53" s="1"/>
  <c r="G191" i="53"/>
  <c r="G189" i="53"/>
  <c r="G186" i="53"/>
  <c r="G184" i="53"/>
  <c r="G182" i="53"/>
  <c r="G180" i="53"/>
  <c r="G177" i="53"/>
  <c r="G174" i="53"/>
  <c r="G154" i="53"/>
  <c r="J154" i="53" s="1"/>
  <c r="G148" i="53"/>
  <c r="G146" i="53"/>
  <c r="G144" i="53"/>
  <c r="G141" i="53"/>
  <c r="G123" i="53"/>
  <c r="G121" i="53"/>
  <c r="G119" i="53"/>
  <c r="G117" i="53"/>
  <c r="G114" i="53"/>
  <c r="G112" i="53"/>
  <c r="G110" i="53"/>
  <c r="G102" i="53"/>
  <c r="G100" i="53"/>
  <c r="G97" i="53"/>
  <c r="G95" i="53"/>
  <c r="G93" i="53"/>
  <c r="G90" i="53"/>
  <c r="G88" i="53"/>
  <c r="G85" i="53"/>
  <c r="G83" i="53"/>
  <c r="G82" i="53" s="1"/>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N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I289" i="53" l="1"/>
  <c r="H20" i="53"/>
  <c r="J150" i="53"/>
  <c r="M42" i="49"/>
  <c r="J241" i="53"/>
  <c r="H265" i="53"/>
  <c r="G271" i="53"/>
  <c r="G265" i="53"/>
  <c r="I20" i="53"/>
  <c r="I209" i="53"/>
  <c r="J225" i="53"/>
  <c r="H237" i="53"/>
  <c r="H271" i="53"/>
  <c r="H289" i="53"/>
  <c r="I301" i="53"/>
  <c r="J104" i="53"/>
  <c r="I273" i="49"/>
  <c r="I200" i="53"/>
  <c r="H209" i="53"/>
  <c r="J255" i="53"/>
  <c r="J232" i="53"/>
  <c r="H301" i="53"/>
  <c r="J325" i="53"/>
  <c r="J324" i="53" s="1"/>
  <c r="J323" i="53" s="1"/>
  <c r="I171" i="53"/>
  <c r="H188" i="53"/>
  <c r="I265" i="53"/>
  <c r="H224" i="53"/>
  <c r="G68" i="53"/>
  <c r="H92" i="53"/>
  <c r="H294" i="53"/>
  <c r="G58" i="53"/>
  <c r="J37" i="53"/>
  <c r="J45" i="53"/>
  <c r="G315" i="49"/>
  <c r="M273" i="49"/>
  <c r="I267" i="49"/>
  <c r="M267" i="49"/>
  <c r="G267" i="49"/>
  <c r="G189" i="49"/>
  <c r="N150" i="49"/>
  <c r="N131" i="49"/>
  <c r="I42" i="49"/>
  <c r="G42" i="49"/>
  <c r="N45" i="49"/>
  <c r="J42" i="49"/>
  <c r="N26" i="49"/>
  <c r="G10" i="53"/>
  <c r="G12" i="49"/>
  <c r="F12" i="52"/>
  <c r="F31" i="52" s="1"/>
  <c r="G10" i="49"/>
  <c r="I294" i="53"/>
  <c r="I271" i="53"/>
  <c r="I254" i="53"/>
  <c r="H254" i="53"/>
  <c r="J237" i="53"/>
  <c r="H200" i="53"/>
  <c r="I188" i="53"/>
  <c r="J188" i="53"/>
  <c r="H179" i="53"/>
  <c r="I125" i="53"/>
  <c r="H125" i="53"/>
  <c r="J87" i="53"/>
  <c r="H87" i="53"/>
  <c r="G282" i="53"/>
  <c r="G294" i="53"/>
  <c r="G301" i="53"/>
  <c r="G87" i="53"/>
  <c r="G237" i="53"/>
  <c r="G313" i="53"/>
  <c r="G99" i="53"/>
  <c r="G179" i="53"/>
  <c r="G188" i="53"/>
  <c r="G20" i="53"/>
  <c r="G92" i="53"/>
  <c r="G143" i="53"/>
  <c r="G171" i="53"/>
  <c r="G170" i="53" s="1"/>
  <c r="G200" i="53"/>
  <c r="G209" i="53"/>
  <c r="G254"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20"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M255" i="49" s="1"/>
  <c r="I256" i="49"/>
  <c r="I255" i="49" s="1"/>
  <c r="K256" i="49"/>
  <c r="K225" i="49"/>
  <c r="K172" i="49"/>
  <c r="M172" i="49"/>
  <c r="G58" i="49"/>
  <c r="L20" i="49"/>
  <c r="H20" i="49"/>
  <c r="M20" i="49"/>
  <c r="K20" i="49"/>
  <c r="J5" i="56"/>
  <c r="H6" i="56"/>
  <c r="G270" i="53" l="1"/>
  <c r="J224" i="53"/>
  <c r="I170" i="53"/>
  <c r="G255" i="49"/>
  <c r="H170" i="53"/>
  <c r="G19" i="49"/>
  <c r="G19" i="53"/>
  <c r="G67" i="53"/>
  <c r="H255" i="49"/>
  <c r="K255" i="49"/>
  <c r="L255" i="49"/>
  <c r="G171" i="49"/>
  <c r="G67" i="49"/>
  <c r="G272" i="49"/>
  <c r="J255" i="49"/>
  <c r="G28" i="52"/>
  <c r="G18" i="52"/>
  <c r="G27" i="52"/>
  <c r="G17" i="52"/>
  <c r="G22" i="52"/>
  <c r="G16" i="52"/>
  <c r="G11" i="52"/>
  <c r="G10" i="52" s="1"/>
  <c r="G9" i="52" s="1"/>
  <c r="G29" i="52"/>
  <c r="G21" i="52"/>
  <c r="G15" i="52"/>
  <c r="G30" i="52"/>
  <c r="F138" i="55"/>
  <c r="G138" i="55"/>
  <c r="H138" i="55"/>
  <c r="I138" i="55"/>
  <c r="J138" i="55"/>
  <c r="K138" i="55"/>
  <c r="L138" i="55"/>
  <c r="M138" i="55"/>
  <c r="N138" i="55"/>
  <c r="O138" i="55"/>
  <c r="P138" i="55"/>
  <c r="E138" i="55"/>
  <c r="L333" i="56"/>
  <c r="B333" i="56"/>
  <c r="L332" i="56"/>
  <c r="B332" i="56"/>
  <c r="L331" i="56"/>
  <c r="B331" i="56"/>
  <c r="L330" i="56"/>
  <c r="B330" i="56"/>
  <c r="L329" i="56"/>
  <c r="B329" i="56"/>
  <c r="L328" i="56"/>
  <c r="B328" i="56"/>
  <c r="L327" i="56"/>
  <c r="B327" i="56"/>
  <c r="L326" i="56"/>
  <c r="B326" i="56"/>
  <c r="L325" i="56"/>
  <c r="B325" i="56"/>
  <c r="L324" i="56"/>
  <c r="B324" i="56"/>
  <c r="L323" i="56"/>
  <c r="B323" i="56"/>
  <c r="L322" i="56"/>
  <c r="B322" i="56"/>
  <c r="L321" i="56"/>
  <c r="B321" i="56"/>
  <c r="L320" i="56"/>
  <c r="B320" i="56"/>
  <c r="L319" i="56"/>
  <c r="B319" i="56"/>
  <c r="L318" i="56"/>
  <c r="B318" i="56"/>
  <c r="L317" i="56"/>
  <c r="B317" i="56"/>
  <c r="L316" i="56"/>
  <c r="B316" i="56"/>
  <c r="L315" i="56"/>
  <c r="B315" i="56"/>
  <c r="L314" i="56"/>
  <c r="B314" i="56"/>
  <c r="L313" i="56"/>
  <c r="B313" i="56"/>
  <c r="L312" i="56"/>
  <c r="B312" i="56"/>
  <c r="L311" i="56"/>
  <c r="B311" i="56"/>
  <c r="L310" i="56"/>
  <c r="B310" i="56"/>
  <c r="L309" i="56"/>
  <c r="B309" i="56"/>
  <c r="L308" i="56"/>
  <c r="B308" i="56"/>
  <c r="L307" i="56"/>
  <c r="B307" i="56"/>
  <c r="L306" i="56"/>
  <c r="B306" i="56"/>
  <c r="L305" i="56"/>
  <c r="B305" i="56"/>
  <c r="L304" i="56"/>
  <c r="B304" i="56"/>
  <c r="L303" i="56"/>
  <c r="B303" i="56"/>
  <c r="B302" i="56"/>
  <c r="B301" i="56"/>
  <c r="B300" i="56"/>
  <c r="B297" i="56"/>
  <c r="B296" i="56"/>
  <c r="B295" i="56"/>
  <c r="B294" i="56"/>
  <c r="B293" i="56"/>
  <c r="B292" i="56"/>
  <c r="B291" i="56"/>
  <c r="B280" i="56"/>
  <c r="B268" i="56"/>
  <c r="B256" i="56"/>
  <c r="B245" i="56"/>
  <c r="B233" i="56"/>
  <c r="B166" i="56"/>
  <c r="B165" i="56"/>
  <c r="B164" i="56"/>
  <c r="B163" i="56"/>
  <c r="B162" i="56"/>
  <c r="B161" i="56"/>
  <c r="B160" i="56"/>
  <c r="B145" i="56"/>
  <c r="B133" i="56"/>
  <c r="B122" i="56"/>
  <c r="B112" i="56"/>
  <c r="B101" i="56"/>
  <c r="B91" i="56"/>
  <c r="B80" i="56"/>
  <c r="B70" i="56"/>
  <c r="B59" i="56"/>
  <c r="B58" i="56"/>
  <c r="B57" i="56"/>
  <c r="B56" i="56"/>
  <c r="B55" i="56"/>
  <c r="B54" i="56"/>
  <c r="B53" i="56"/>
  <c r="B52" i="56"/>
  <c r="B51" i="56"/>
  <c r="B41" i="56"/>
  <c r="B20" i="56"/>
  <c r="L8" i="56"/>
  <c r="B8" i="56"/>
  <c r="Q137" i="55"/>
  <c r="Q136" i="55"/>
  <c r="Q135" i="55"/>
  <c r="Q134" i="55"/>
  <c r="Q133" i="55"/>
  <c r="Q132" i="55"/>
  <c r="Q131" i="55"/>
  <c r="Q130" i="55"/>
  <c r="Q129" i="55"/>
  <c r="Q128" i="55"/>
  <c r="Q127" i="55"/>
  <c r="Q126" i="55"/>
  <c r="Q125" i="55"/>
  <c r="Q124" i="55"/>
  <c r="Q123" i="55"/>
  <c r="Q122" i="55"/>
  <c r="Q121" i="55"/>
  <c r="Q120" i="55"/>
  <c r="Q119" i="55"/>
  <c r="Q116" i="55"/>
  <c r="Q115" i="55"/>
  <c r="Q114" i="55"/>
  <c r="Q113" i="55"/>
  <c r="Q112" i="55"/>
  <c r="Q111" i="55"/>
  <c r="Q110" i="55"/>
  <c r="Q109" i="55"/>
  <c r="Q91" i="55"/>
  <c r="Q90" i="55"/>
  <c r="Q87" i="55"/>
  <c r="Q86" i="55"/>
  <c r="Q85" i="55"/>
  <c r="Q84" i="55"/>
  <c r="Q83" i="55"/>
  <c r="Q82" i="55"/>
  <c r="Q81" i="55"/>
  <c r="Q80" i="55"/>
  <c r="Q28" i="55"/>
  <c r="Q27" i="55"/>
  <c r="Q26" i="55"/>
  <c r="Q25" i="55"/>
  <c r="Q24" i="55"/>
  <c r="Q23" i="55"/>
  <c r="Q22" i="55"/>
  <c r="Q21" i="55"/>
  <c r="Q20" i="55"/>
  <c r="Q19" i="55"/>
  <c r="G18" i="53" l="1"/>
  <c r="G18" i="49"/>
  <c r="G26" i="52"/>
  <c r="G25" i="52" s="1"/>
  <c r="G24" i="52" s="1"/>
  <c r="G23" i="52" s="1"/>
  <c r="G13" i="52"/>
  <c r="G20" i="52"/>
  <c r="G19" i="52"/>
  <c r="G14" i="52" s="1"/>
  <c r="Q138" i="55"/>
  <c r="G12" i="52" l="1"/>
  <c r="G31" i="52" s="1"/>
  <c r="E6" i="52" l="1"/>
  <c r="F7" i="53"/>
  <c r="F6" i="53"/>
  <c r="A5" i="53"/>
  <c r="A1" i="53"/>
  <c r="F7" i="49"/>
  <c r="F6" i="49"/>
  <c r="A5" i="49"/>
  <c r="A1" i="49"/>
  <c r="A5" i="52"/>
  <c r="A3" i="52"/>
  <c r="A2" i="52"/>
  <c r="A1" i="52"/>
  <c r="E7" i="52"/>
  <c r="J315" i="53" l="1"/>
  <c r="J314" i="53" s="1"/>
  <c r="I314" i="53"/>
  <c r="I313" i="53" s="1"/>
  <c r="H314" i="53"/>
  <c r="H313" i="53" s="1"/>
  <c r="J312" i="53"/>
  <c r="J311" i="53" s="1"/>
  <c r="J310" i="53" s="1"/>
  <c r="J309" i="53"/>
  <c r="J308" i="53" s="1"/>
  <c r="J307" i="53"/>
  <c r="J306" i="53" s="1"/>
  <c r="J305" i="53"/>
  <c r="J304" i="53" s="1"/>
  <c r="J303" i="53"/>
  <c r="J302" i="53" s="1"/>
  <c r="J300" i="53"/>
  <c r="J299" i="53" s="1"/>
  <c r="J296" i="53"/>
  <c r="J295" i="53" s="1"/>
  <c r="J293" i="53"/>
  <c r="J292" i="53" s="1"/>
  <c r="J291" i="53"/>
  <c r="J290" i="53" s="1"/>
  <c r="J288" i="53"/>
  <c r="J287" i="53" s="1"/>
  <c r="I282" i="53"/>
  <c r="I270" i="53" s="1"/>
  <c r="H282" i="53"/>
  <c r="J286" i="53"/>
  <c r="J285" i="53" s="1"/>
  <c r="J284" i="53"/>
  <c r="J283" i="53" s="1"/>
  <c r="J281" i="53"/>
  <c r="J280" i="53" s="1"/>
  <c r="J279" i="53"/>
  <c r="J278" i="53" s="1"/>
  <c r="J277" i="53"/>
  <c r="J276" i="53" s="1"/>
  <c r="J275" i="53"/>
  <c r="J274" i="53" s="1"/>
  <c r="J273" i="53"/>
  <c r="J272" i="53" s="1"/>
  <c r="I258" i="53"/>
  <c r="J217" i="53"/>
  <c r="J216" i="53"/>
  <c r="J215" i="53"/>
  <c r="J213" i="53"/>
  <c r="J211" i="53"/>
  <c r="J206" i="53"/>
  <c r="J205" i="53" s="1"/>
  <c r="J204" i="53"/>
  <c r="J203" i="53" s="1"/>
  <c r="J187" i="53"/>
  <c r="J186" i="53" s="1"/>
  <c r="J185" i="53"/>
  <c r="J184" i="53" s="1"/>
  <c r="J179" i="53" s="1"/>
  <c r="J178" i="53"/>
  <c r="J177" i="53" s="1"/>
  <c r="J176" i="53"/>
  <c r="J175" i="53"/>
  <c r="J173" i="53"/>
  <c r="J172" i="53" s="1"/>
  <c r="J167" i="53"/>
  <c r="K167" i="53" s="1"/>
  <c r="I157" i="53"/>
  <c r="I143" i="53" s="1"/>
  <c r="H157" i="53"/>
  <c r="H143" i="53" s="1"/>
  <c r="J145" i="53"/>
  <c r="J144" i="53" s="1"/>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9" i="53" s="1"/>
  <c r="J98" i="53"/>
  <c r="J97" i="53" s="1"/>
  <c r="J96" i="53"/>
  <c r="J95" i="53" s="1"/>
  <c r="J94" i="53"/>
  <c r="J93" i="53" s="1"/>
  <c r="J86" i="53"/>
  <c r="J85" i="53" s="1"/>
  <c r="J82" i="53" s="1"/>
  <c r="I85" i="53"/>
  <c r="I82" i="53" s="1"/>
  <c r="H85" i="53"/>
  <c r="J84" i="53"/>
  <c r="J83" i="53" s="1"/>
  <c r="J77" i="53"/>
  <c r="J76" i="53"/>
  <c r="J74" i="53"/>
  <c r="J73" i="53" s="1"/>
  <c r="I68" i="53"/>
  <c r="H68" i="53"/>
  <c r="J72" i="53"/>
  <c r="J71" i="53" s="1"/>
  <c r="J66" i="53"/>
  <c r="J65" i="53" s="1"/>
  <c r="J62" i="53"/>
  <c r="J61" i="53" s="1"/>
  <c r="I61" i="53"/>
  <c r="I58" i="53" s="1"/>
  <c r="H61" i="53"/>
  <c r="H58" i="53" s="1"/>
  <c r="J60" i="53"/>
  <c r="J57" i="53"/>
  <c r="I42" i="53"/>
  <c r="I19" i="53" s="1"/>
  <c r="H42" i="53"/>
  <c r="H19" i="53" s="1"/>
  <c r="J44" i="53"/>
  <c r="J43" i="53" s="1"/>
  <c r="J42" i="53" s="1"/>
  <c r="J27" i="53"/>
  <c r="J26" i="53" s="1"/>
  <c r="J22" i="53"/>
  <c r="J21" i="53" s="1"/>
  <c r="J20" i="53" s="1"/>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J289" i="53" l="1"/>
  <c r="J92" i="53"/>
  <c r="J82" i="49"/>
  <c r="H270" i="53"/>
  <c r="J301" i="53"/>
  <c r="N303" i="49"/>
  <c r="J174" i="53"/>
  <c r="J171" i="53" s="1"/>
  <c r="J214" i="53"/>
  <c r="J271" i="53"/>
  <c r="J75" i="53"/>
  <c r="J59" i="53"/>
  <c r="J58" i="53" s="1"/>
  <c r="J55" i="53"/>
  <c r="J54" i="53" s="1"/>
  <c r="J19" i="53" s="1"/>
  <c r="N215" i="49"/>
  <c r="N211" i="49" s="1"/>
  <c r="N99" i="49"/>
  <c r="N82" i="49"/>
  <c r="N55" i="49"/>
  <c r="N54" i="49" s="1"/>
  <c r="N37" i="49"/>
  <c r="N42" i="49"/>
  <c r="N21" i="49"/>
  <c r="H258" i="53"/>
  <c r="J259" i="53"/>
  <c r="J258" i="53" s="1"/>
  <c r="J157" i="53"/>
  <c r="J126" i="53"/>
  <c r="J125" i="53" s="1"/>
  <c r="I116" i="53"/>
  <c r="I67" i="53" s="1"/>
  <c r="I18" i="53" s="1"/>
  <c r="J313" i="53"/>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J218" i="53"/>
  <c r="J297" i="53"/>
  <c r="J294" i="53" s="1"/>
  <c r="N189" i="49"/>
  <c r="N63" i="49"/>
  <c r="N58" i="49" s="1"/>
  <c r="H116" i="53"/>
  <c r="J116" i="49"/>
  <c r="J212" i="53"/>
  <c r="J210" i="53" s="1"/>
  <c r="J116" i="53"/>
  <c r="G14" i="49"/>
  <c r="M116" i="49"/>
  <c r="J68" i="53"/>
  <c r="L125" i="49"/>
  <c r="N116" i="49"/>
  <c r="M125" i="49"/>
  <c r="L116" i="49"/>
  <c r="H116" i="49"/>
  <c r="H125" i="49"/>
  <c r="K125" i="49"/>
  <c r="K116" i="49"/>
  <c r="G14" i="53"/>
  <c r="J125" i="49"/>
  <c r="I125" i="49"/>
  <c r="I116" i="49"/>
  <c r="H171" i="49" l="1"/>
  <c r="K171" i="49"/>
  <c r="I171" i="49"/>
  <c r="N210" i="49"/>
  <c r="N143" i="49"/>
  <c r="N141" i="49" s="1"/>
  <c r="N126" i="49" s="1"/>
  <c r="N125" i="49" s="1"/>
  <c r="N33" i="49"/>
  <c r="J282" i="53"/>
  <c r="J270" i="53" s="1"/>
  <c r="J268" i="53" s="1"/>
  <c r="J266" i="53" s="1"/>
  <c r="J265" i="53" s="1"/>
  <c r="J254" i="53" s="1"/>
  <c r="J209" i="53"/>
  <c r="J208" i="53" s="1"/>
  <c r="J207" i="53" s="1"/>
  <c r="J200" i="53" s="1"/>
  <c r="J170" i="53" s="1"/>
  <c r="J164" i="53" s="1"/>
  <c r="J143" i="53" s="1"/>
  <c r="J67" i="53" s="1"/>
  <c r="H67" i="53"/>
  <c r="H18" i="53" s="1"/>
  <c r="L171" i="49"/>
  <c r="M171" i="49"/>
  <c r="J171" i="49"/>
  <c r="N301" i="49"/>
  <c r="N299" i="49" s="1"/>
  <c r="N297" i="49" s="1"/>
  <c r="N296" i="49" s="1"/>
  <c r="N294" i="49" s="1"/>
  <c r="N291" i="49" s="1"/>
  <c r="N287" i="49" s="1"/>
  <c r="N284" i="49" s="1"/>
  <c r="N272" i="49" s="1"/>
  <c r="N270" i="49" s="1"/>
  <c r="N268" i="49" s="1"/>
  <c r="N267" i="49" s="1"/>
  <c r="N255" i="49" s="1"/>
  <c r="N187" i="49"/>
  <c r="M67" i="49"/>
  <c r="L67" i="49"/>
  <c r="I67" i="49"/>
  <c r="H67" i="49"/>
  <c r="J67" i="49"/>
  <c r="K67" i="49"/>
  <c r="I18" i="49" l="1"/>
  <c r="J18" i="53"/>
  <c r="H18" i="49"/>
  <c r="K18" i="49"/>
  <c r="M18" i="49"/>
  <c r="L18" i="49"/>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67" i="49"/>
  <c r="K23" i="53"/>
  <c r="K24" i="53"/>
  <c r="K62" i="53"/>
  <c r="K61" i="53" s="1"/>
  <c r="K25" i="53"/>
  <c r="K27" i="53"/>
  <c r="K21" i="53" l="1"/>
  <c r="K55" i="53"/>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63" i="53"/>
  <c r="K58" i="53" s="1"/>
  <c r="K20" i="53" l="1"/>
  <c r="K19" i="53" s="1"/>
  <c r="K270" i="53"/>
  <c r="K237" i="53"/>
  <c r="K224" i="53"/>
  <c r="K209" i="53"/>
  <c r="K143" i="53"/>
  <c r="K125" i="53"/>
  <c r="K170" i="53" l="1"/>
  <c r="K67" i="53"/>
  <c r="N20" i="49"/>
  <c r="N19" i="49" s="1"/>
  <c r="N18" i="49" s="1"/>
  <c r="K18" i="53" l="1"/>
  <c r="O60" i="49"/>
  <c r="O111" i="49"/>
  <c r="O328" i="49"/>
  <c r="O327" i="49" s="1"/>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215" i="49" l="1"/>
  <c r="O210" i="49" s="1"/>
  <c r="O201" i="49" s="1"/>
  <c r="O171" i="49" s="1"/>
  <c r="O67" i="49"/>
  <c r="O18" i="49" l="1"/>
</calcChain>
</file>

<file path=xl/comments1.xml><?xml version="1.0" encoding="utf-8"?>
<comments xmlns="http://schemas.openxmlformats.org/spreadsheetml/2006/main">
  <authors>
    <author>Ilka Gonzalez</author>
  </authors>
  <commentList>
    <comment ref="C5" authorId="0">
      <text>
        <r>
          <rPr>
            <b/>
            <sz val="9"/>
            <color indexed="81"/>
            <rFont val="Tahoma"/>
            <family val="2"/>
          </rPr>
          <t>Ilka Gonzalez:</t>
        </r>
        <r>
          <rPr>
            <sz val="9"/>
            <color indexed="81"/>
            <rFont val="Tahoma"/>
            <family val="2"/>
          </rPr>
          <t xml:space="preserve">
Pestaña desplegable</t>
        </r>
      </text>
    </comment>
    <comment ref="D8" author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text>
        <r>
          <rPr>
            <sz val="9"/>
            <color indexed="81"/>
            <rFont val="Tahoma"/>
            <family val="2"/>
          </rPr>
          <t>Fórmula Metas programadas:
 Meta Actual/Meta Año anterior X Meta Actual</t>
        </r>
      </text>
    </comment>
    <comment ref="D34" authorId="0">
      <text>
        <r>
          <rPr>
            <sz val="9"/>
            <color indexed="81"/>
            <rFont val="Tahoma"/>
            <family val="2"/>
          </rPr>
          <t>Número de camas x 365</t>
        </r>
      </text>
    </comment>
    <comment ref="E34" authorId="0">
      <text>
        <r>
          <rPr>
            <sz val="9"/>
            <color indexed="81"/>
            <rFont val="Tahoma"/>
            <family val="2"/>
          </rPr>
          <t>Sumatoria de los días pacientes reportados en el censo diario</t>
        </r>
      </text>
    </comment>
    <comment ref="F34" authorId="0">
      <text>
        <r>
          <rPr>
            <sz val="9"/>
            <color indexed="81"/>
            <rFont val="Tahoma"/>
            <family val="2"/>
          </rPr>
          <t>Total de días pacientes en un período dado/Total de egresos del mismo período</t>
        </r>
      </text>
    </comment>
    <comment ref="G34" authorId="0">
      <text>
        <r>
          <rPr>
            <sz val="9"/>
            <color indexed="81"/>
            <rFont val="Tahoma"/>
            <family val="2"/>
          </rPr>
          <t>Total de días pacientes en un período dado/ Total de días camas disponibles del mismo período x 100</t>
        </r>
      </text>
    </comment>
    <comment ref="H34" authorId="0">
      <text>
        <r>
          <rPr>
            <sz val="9"/>
            <color indexed="81"/>
            <rFont val="Tahoma"/>
            <family val="2"/>
          </rPr>
          <t>Número de nacidos vivos prematuros/ total nacidos vivos x 100</t>
        </r>
      </text>
    </comment>
    <comment ref="I34" author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<sst xmlns="http://schemas.openxmlformats.org/spreadsheetml/2006/main" count="6312" uniqueCount="1496">
  <si>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</si>
  <si>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</si>
  <si>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</si>
  <si>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</si>
  <si>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</si>
  <si>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</si>
  <si>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</si>
  <si>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</si>
  <si>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</si>
  <si>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</si>
  <si>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</si>
  <si>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</si>
  <si>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</si>
  <si>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</si>
  <si>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</si>
  <si>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</si>
  <si>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</si>
  <si>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DE ENGOMBE</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</si>
  <si>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</si>
  <si>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</si>
  <si>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</si>
  <si>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</si>
  <si>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</si>
  <si>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</si>
  <si>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</si>
  <si>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</si>
  <si>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</si>
  <si>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</si>
  <si>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</si>
  <si>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</si>
  <si>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</si>
  <si>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</si>
  <si>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</si>
  <si>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</si>
  <si>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</si>
  <si>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</si>
  <si>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</si>
  <si>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</si>
  <si>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</si>
  <si>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</si>
  <si>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</si>
  <si>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</si>
  <si>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</si>
  <si>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</si>
  <si>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</si>
  <si>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</si>
  <si>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</si>
  <si>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</si>
  <si>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</si>
  <si>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</si>
  <si>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</si>
  <si>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</si>
  <si>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</si>
  <si>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</si>
  <si>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</si>
  <si>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</si>
  <si>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</si>
  <si>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</si>
  <si>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</si>
  <si>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</si>
  <si>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</si>
  <si>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</si>
  <si>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</si>
  <si>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</si>
  <si>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</si>
  <si>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</si>
  <si>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</si>
  <si>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</si>
  <si>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</si>
  <si>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</si>
  <si>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SRS Ozama</t>
  </si>
  <si>
    <t>Recursos Externos</t>
  </si>
  <si>
    <t>CEAS:</t>
  </si>
  <si>
    <t>Hospital Municipal Engombe</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</si>
  <si>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</si>
  <si>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</si>
  <si>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</si>
  <si>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</si>
  <si>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</si>
  <si>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</si>
  <si>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</si>
  <si>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</si>
  <si>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</si>
  <si>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</si>
  <si>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</si>
  <si>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</si>
  <si>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</si>
  <si>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</si>
  <si>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</si>
  <si>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</si>
  <si>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</si>
  <si>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</si>
  <si>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</si>
  <si>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</si>
  <si>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</si>
  <si>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</si>
  <si>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de DPD Sede</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</si>
  <si>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</si>
  <si>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</si>
  <si>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</si>
  <si>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</si>
  <si>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</si>
  <si>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</si>
  <si>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</si>
  <si>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</si>
  <si>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</si>
  <si>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</si>
  <si>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</si>
  <si>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</si>
  <si>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</si>
  <si>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</si>
  <si>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</si>
  <si>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</si>
  <si>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</si>
  <si>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1.2.1.02</t>
  </si>
  <si>
    <t>Análisis de los indicadores Maternos Neonatales de la Sala Situacional</t>
  </si>
  <si>
    <t>Plantilla estandarizada</t>
  </si>
  <si>
    <t>Todos los CEAS regionales, especializados y de referencia que ofrezcan servicios maternos</t>
  </si>
  <si>
    <t>1.2.1.03</t>
  </si>
  <si>
    <t>Seguimiento a la implementacion de la Estrategia Código Rojo.</t>
  </si>
  <si>
    <t>Listado de participación</t>
  </si>
  <si>
    <t>Todos los hospitales regionales, maternos y materno infantil que ofrecen servicios maternos</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</si>
  <si>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</si>
  <si>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</si>
  <si>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</si>
  <si>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</si>
  <si>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Género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</si>
  <si>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</si>
  <si>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</si>
  <si>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</si>
  <si>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</si>
  <si>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</si>
  <si>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</si>
  <si>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</si>
  <si>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</si>
  <si>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</si>
  <si>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</si>
  <si>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</si>
  <si>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</si>
  <si>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</si>
  <si>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</si>
  <si>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</si>
  <si>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</si>
  <si>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</si>
  <si>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</si>
  <si>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</si>
  <si>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</si>
  <si>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</si>
  <si>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</si>
  <si>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</si>
  <si>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</si>
  <si>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</si>
  <si>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</si>
  <si>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</si>
  <si>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</si>
  <si>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</si>
  <si>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</si>
  <si>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</si>
  <si>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</si>
  <si>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</si>
  <si>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</si>
  <si>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</si>
  <si>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</si>
  <si>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</si>
  <si>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</si>
  <si>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</si>
  <si>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</si>
  <si>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</si>
  <si>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</si>
  <si>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</si>
  <si>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</si>
  <si>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</si>
  <si>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</si>
  <si>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</si>
  <si>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</si>
  <si>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</si>
  <si>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Hosp. Regionales y Especializados/Hosp. Provinciales y Municipales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</si>
  <si>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</si>
  <si>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1.8.3.04</t>
  </si>
  <si>
    <t>Seguimiento al plan de mejora de las evaluaciones de la calidad de los servicios de nutrición</t>
  </si>
  <si>
    <t>Centros Hospitalarios</t>
  </si>
  <si>
    <t>1.8.3.05</t>
  </si>
  <si>
    <t>Implementacion de los procesos de bioseguridad hospitalaria</t>
  </si>
  <si>
    <t>1.8.3.06</t>
  </si>
  <si>
    <t>Elaboración de los planes de mejora a partir de los resultados de evaluacion de procesos de bioseguridad hospitalaria</t>
  </si>
  <si>
    <t>1.8.3.07</t>
  </si>
  <si>
    <t>Seguimiento a los planes de mejora de evaluación de procesos de bioseguridad hospitalaria</t>
  </si>
  <si>
    <t>1.8.3.08</t>
  </si>
  <si>
    <t>Notificación oportuna de las enfermedades bajo vigilancia epidemiológica (Epi 1 y 2)</t>
  </si>
  <si>
    <t>1.8.3.09</t>
  </si>
  <si>
    <t>Implementación del procedimiento de hosteleria hospitalaria</t>
  </si>
  <si>
    <t>1.8.3.10</t>
  </si>
  <si>
    <t>Diagnóstico situacional de la conformación de los comités hospitalarios</t>
  </si>
  <si>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</si>
  <si>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</si>
  <si>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</si>
  <si>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</si>
  <si>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</si>
  <si>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</si>
  <si>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</si>
  <si>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</si>
  <si>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</si>
  <si>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1.8.3.15</t>
  </si>
  <si>
    <t xml:space="preserve">Supervisión de la calidad de los servicios de nutrición </t>
  </si>
  <si>
    <t>1.8.3.16</t>
  </si>
  <si>
    <t>Desarrollo de los planes de mejora a partir de los resultados de las evaluaciones de la calidad de los servicios de nutrición</t>
  </si>
  <si>
    <t>1.8.3.17</t>
  </si>
  <si>
    <t>Implementación del plan de mejora de las evaluaciones de la calidad de los servicios de nutrición</t>
  </si>
  <si>
    <t>1.8.3.18</t>
  </si>
  <si>
    <t>Análisis del comportamiento de las objeciones médicas y administrativas</t>
  </si>
  <si>
    <t>1.8.3.19</t>
  </si>
  <si>
    <t>Elaboracion de los planes de mejora para la disminucion de las objeciones médicas, administrativas y el incremento de la facturación de los CEAS, en coordinacion de los SRS los centros de salud.</t>
  </si>
  <si>
    <t>1.8.3.20</t>
  </si>
  <si>
    <t>Seguimiento a la ejecución de planes de mejora para la disminucion de las objeciones médicas, administrativas y el incremento de la facturación de los CEAS.</t>
  </si>
  <si>
    <t>Reajustar el mes de seguimiento puesto que no hay flexibilidad si coincide con el mismo mes de ejucion.</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</si>
  <si>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</si>
  <si>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</si>
  <si>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</si>
  <si>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</si>
  <si>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</si>
  <si>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</si>
  <si>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</si>
  <si>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</si>
  <si>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</si>
  <si>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</si>
  <si>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</si>
  <si>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</si>
  <si>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</si>
  <si>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</si>
  <si>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</si>
  <si>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</si>
  <si>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</si>
  <si>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</si>
  <si>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</si>
  <si>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</si>
  <si>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</si>
  <si>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</si>
  <si>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</si>
  <si>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</si>
  <si>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</si>
  <si>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</si>
  <si>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</si>
  <si>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</si>
  <si>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</si>
  <si>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</si>
  <si>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</si>
  <si>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</si>
  <si>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</si>
  <si>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</si>
  <si>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</si>
  <si>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</si>
  <si>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</si>
  <si>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</si>
  <si>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</si>
  <si>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</si>
  <si>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</si>
  <si>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</si>
  <si>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</si>
  <si>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</si>
  <si>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</si>
  <si>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</si>
  <si>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</si>
  <si>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</si>
  <si>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</si>
  <si>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</si>
  <si>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</si>
  <si>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</si>
  <si>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</si>
  <si>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</si>
  <si>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</si>
  <si>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3.1.6.05</t>
  </si>
  <si>
    <t>Elaboración del informe de autodiagnóstico y sistema afinado de puntuación CAF</t>
  </si>
  <si>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</si>
  <si>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</si>
  <si>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</si>
  <si>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</si>
  <si>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</si>
  <si>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</si>
  <si>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</si>
  <si>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</si>
  <si>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</si>
  <si>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</si>
  <si>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</si>
  <si>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</si>
  <si>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</si>
  <si>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</si>
  <si>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</si>
  <si>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EES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</si>
  <si>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</si>
  <si>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</si>
  <si>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</si>
  <si>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</si>
  <si>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</si>
  <si>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</si>
  <si>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</si>
  <si>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</si>
  <si>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</si>
  <si>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</si>
  <si>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</si>
  <si>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</si>
  <si>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</si>
  <si>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</si>
  <si>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</si>
  <si>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 de verificación y formulario plan de mejora</t>
  </si>
  <si>
    <t>Laboratorios e Imágenes</t>
  </si>
  <si>
    <t>3.2.2.02</t>
  </si>
  <si>
    <t>Garantizar la disponibilidad de pruebas de laboratorios y estudios de imágenes que se realizan a embarazadas y recien nacidos en hospitales maternos.</t>
  </si>
  <si>
    <t>3.2.2.04</t>
  </si>
  <si>
    <t>Cumplimiento la ruta de recolecion y/o envio y/o recepción de las muestras.</t>
  </si>
  <si>
    <r>
      <t xml:space="preserve">Cumplimiento la ruta de recolecion y/o envio y/o recepción de las muestras.
</t>
    </r>
    <r>
      <rPr>
        <b/>
        <sz val="11"/>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</si>
  <si>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</si>
  <si>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</si>
  <si>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</si>
  <si>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</si>
  <si>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</si>
  <si>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t>3.2.2.07</t>
  </si>
  <si>
    <t>Mantenimiento a los equipos  y calibracion de cabinas.</t>
  </si>
  <si>
    <t xml:space="preserve">Reporte de los mantenimientos de equipos y calibración de cabinas. </t>
  </si>
  <si>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</si>
  <si>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</si>
  <si>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</si>
  <si>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</si>
  <si>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</si>
  <si>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</si>
  <si>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</si>
  <si>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</si>
  <si>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</si>
  <si>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</si>
  <si>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</si>
  <si>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</si>
  <si>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</si>
  <si>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</si>
  <si>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</si>
  <si>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</si>
  <si>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1"/>
        <color rgb="FF000000"/>
        <rFont val="Calibri"/>
        <family val="2"/>
        <scheme val="minor"/>
      </rPr>
      <t xml:space="preserve"> OJO: Es una evidencia a cargar para SISMAP Salud</t>
    </r>
    <r>
      <rPr>
        <sz val="11"/>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</si>
  <si>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</si>
  <si>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</si>
  <si>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1"/>
        <color rgb="FF000000"/>
        <rFont val="Calibri"/>
        <family val="2"/>
        <scheme val="minor"/>
      </rPr>
      <t>OJO: Es una evidencia a cargar para SISMAP Salud</t>
    </r>
    <r>
      <rPr>
        <sz val="11"/>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</si>
  <si>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</si>
  <si>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</si>
  <si>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1"/>
        <color rgb="FF000000"/>
        <rFont val="Calibri"/>
        <family val="2"/>
        <scheme val="minor"/>
      </rPr>
      <t>OJO: Es una evidencia a cargar para SISMAP Salud</t>
    </r>
    <r>
      <rPr>
        <sz val="11"/>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</si>
  <si>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</si>
  <si>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</si>
  <si>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</si>
  <si>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1"/>
        <color rgb="FF000000"/>
        <rFont val="Calibri"/>
        <family val="2"/>
        <scheme val="minor"/>
      </rPr>
      <t>OJO: Es una evidencia a cargar para SISMAP Salud</t>
    </r>
    <r>
      <rPr>
        <sz val="11"/>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</si>
  <si>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</si>
  <si>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</si>
  <si>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</si>
  <si>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u/>
        <sz val="11"/>
        <color rgb="FF000000"/>
        <rFont val="Calibri"/>
        <family val="2"/>
        <scheme val="minor"/>
      </rPr>
      <t>MENSUAL</t>
    </r>
    <r>
      <rPr>
        <sz val="11"/>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1"/>
        <color rgb="FF000000"/>
        <rFont val="Calibri"/>
        <family val="2"/>
        <scheme val="minor"/>
      </rPr>
      <t>OJO: Es una evidencia a cargar para SISMAP Salud</t>
    </r>
    <r>
      <rPr>
        <sz val="11"/>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</si>
  <si>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</si>
  <si>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</si>
  <si>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</si>
  <si>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1"/>
        <color rgb="FF000000"/>
        <rFont val="Calibri"/>
        <family val="2"/>
        <scheme val="minor"/>
      </rPr>
      <t>OJO: Es una evidencia a cargar para SISMAP Salud</t>
    </r>
    <r>
      <rPr>
        <sz val="11"/>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</si>
  <si>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</si>
  <si>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</si>
  <si>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1"/>
        <color rgb="FF000000"/>
        <rFont val="Calibri"/>
        <family val="2"/>
        <scheme val="minor"/>
      </rPr>
      <t>OJO: Es una evidencia a cargar para SISMAP Salud</t>
    </r>
    <r>
      <rPr>
        <sz val="11"/>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</si>
  <si>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</si>
  <si>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</si>
  <si>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1"/>
        <color rgb="FF000000"/>
        <rFont val="Calibri"/>
        <family val="2"/>
        <scheme val="minor"/>
      </rPr>
      <t>OJO: Es una evidencia a cargar para SISMAP Salud</t>
    </r>
    <r>
      <rPr>
        <sz val="11"/>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</si>
  <si>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</si>
  <si>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</si>
  <si>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</si>
  <si>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 completados</t>
  </si>
  <si>
    <t>Formulario de Evaluación de los Programas de Prevención y Control de Infecciones de OMS (provistos por PCR) y Formulario DCH-FO-035.</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</si>
  <si>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</si>
  <si>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</si>
  <si>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y bioseguridad. OJO: EVIDENCIA SISMAP.</t>
  </si>
  <si>
    <t>3.2.3.03</t>
  </si>
  <si>
    <t xml:space="preserve">Seguimiento a la ejecución del plan de mejora de prevencion y control de infecciones </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</si>
  <si>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</si>
  <si>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</si>
  <si>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</si>
  <si>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</si>
  <si>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</si>
  <si>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</si>
  <si>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</si>
  <si>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</si>
  <si>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</si>
  <si>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</si>
  <si>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</si>
  <si>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</si>
  <si>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</si>
  <si>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</si>
  <si>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</si>
  <si>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</si>
  <si>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</si>
  <si>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</si>
  <si>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</si>
  <si>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</si>
  <si>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</si>
  <si>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</si>
  <si>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</si>
  <si>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</si>
  <si>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</si>
  <si>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</si>
  <si>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</si>
  <si>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</si>
  <si>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</si>
  <si>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</si>
  <si>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</si>
  <si>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</si>
  <si>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</si>
  <si>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</si>
  <si>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</si>
  <si>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</si>
  <si>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</si>
  <si>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</si>
  <si>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</si>
  <si>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</si>
  <si>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</si>
  <si>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</si>
  <si>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</si>
  <si>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</si>
  <si>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</si>
  <si>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</si>
  <si>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</si>
  <si>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</si>
  <si>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</si>
  <si>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</si>
  <si>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</si>
  <si>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</si>
  <si>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</si>
  <si>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</si>
  <si>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</si>
  <si>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</si>
  <si>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3.6.1.03</t>
  </si>
  <si>
    <t>Reporte ejecución Metas Físicas y Financieras en el SIGEF 2026</t>
  </si>
  <si>
    <t>Sólo aplica a hospitales autogestionados</t>
  </si>
  <si>
    <t>3.6.1.04</t>
  </si>
  <si>
    <t>Autoevaluación del desempeño hospitalario del SISCOMPRA y elaboración de un plan de mejora conforme hallazgos</t>
  </si>
  <si>
    <t>Solo aplica a hospitales que tienen SECP</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</si>
  <si>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</si>
  <si>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</si>
  <si>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</si>
  <si>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</si>
  <si>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</si>
  <si>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</si>
  <si>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</si>
  <si>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</si>
  <si>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</si>
  <si>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</si>
  <si>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</si>
  <si>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</si>
  <si>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</si>
  <si>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</si>
  <si>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3.8.1.04</t>
  </si>
  <si>
    <t>Reunión con las áreas para identificación de cumplimiento de las actividades programadas del plan piloto Proyecto Sistema de Fiscalización y Control Regional.</t>
  </si>
  <si>
    <t>Establecimientos de salud de la región Valdesia (Juan Pablo Pina).</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</si>
  <si>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</si>
  <si>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</si>
  <si>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</si>
  <si>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</si>
  <si>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</si>
  <si>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</si>
  <si>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</si>
  <si>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</si>
  <si>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</si>
  <si>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</si>
  <si>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</si>
  <si>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</si>
  <si>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</si>
  <si>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</si>
  <si>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</si>
  <si>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</si>
  <si>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</si>
  <si>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</si>
  <si>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</si>
  <si>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</si>
  <si>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</si>
  <si>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</si>
  <si>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</si>
  <si>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</si>
  <si>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</si>
  <si>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</si>
  <si>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</si>
  <si>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</si>
  <si>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</si>
  <si>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</si>
  <si>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</si>
  <si>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</si>
  <si>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</si>
  <si>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</si>
  <si>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</si>
  <si>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</si>
  <si>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</si>
  <si>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</si>
  <si>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</si>
  <si>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</si>
  <si>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</si>
  <si>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</si>
  <si>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</si>
  <si>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</si>
  <si>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</si>
  <si>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</si>
  <si>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</si>
  <si>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</si>
  <si>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</si>
  <si>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</si>
  <si>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</si>
  <si>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</si>
  <si>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</si>
  <si>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</si>
  <si>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</si>
  <si>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</si>
  <si>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</si>
  <si>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</si>
  <si>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</si>
  <si>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</si>
  <si>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</si>
  <si>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</si>
  <si>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</si>
  <si>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</si>
  <si>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</si>
  <si>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</si>
  <si>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</si>
  <si>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</si>
  <si>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</si>
  <si>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</si>
  <si>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</si>
  <si>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</si>
  <si>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</si>
  <si>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</si>
  <si>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</si>
  <si>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</si>
  <si>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1.1.1.02</t>
  </si>
  <si>
    <t>Impresora  con escaner</t>
  </si>
  <si>
    <t>Unidad</t>
  </si>
  <si>
    <t>2.6.1.3.01</t>
  </si>
  <si>
    <t>Goma de borrar</t>
  </si>
  <si>
    <t>2.3.9.2.01</t>
  </si>
  <si>
    <t>Resaltadores</t>
  </si>
  <si>
    <t>Post-it</t>
  </si>
  <si>
    <t>Paquete</t>
  </si>
  <si>
    <t>2.3.3.1.01</t>
  </si>
  <si>
    <t>Cartucho de Tinta</t>
  </si>
  <si>
    <t>Resma de Papel</t>
  </si>
  <si>
    <t>Resma</t>
  </si>
  <si>
    <t>Tinta rolon</t>
  </si>
  <si>
    <t>2.3.7.2.06</t>
  </si>
  <si>
    <t>Boligrafo</t>
  </si>
  <si>
    <t>Cajas</t>
  </si>
  <si>
    <t>Internet</t>
  </si>
  <si>
    <t>2.2.1.5.01</t>
  </si>
  <si>
    <t>Folder</t>
  </si>
  <si>
    <t>Grapas</t>
  </si>
  <si>
    <t>2.3.6.3.04</t>
  </si>
  <si>
    <t>Toner</t>
  </si>
  <si>
    <t>Computadora</t>
  </si>
  <si>
    <t>1.2.1.05</t>
  </si>
  <si>
    <t>1.2.1.06</t>
  </si>
  <si>
    <t>1.2.1.07</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</si>
  <si>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</si>
  <si>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</si>
  <si>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</si>
  <si>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</si>
  <si>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</si>
  <si>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</si>
  <si>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</si>
  <si>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</si>
  <si>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</si>
  <si>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</si>
  <si>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</si>
  <si>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</si>
  <si>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</si>
  <si>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</si>
  <si>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</si>
  <si>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</si>
  <si>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</si>
  <si>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</si>
  <si>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</si>
  <si>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</si>
  <si>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</si>
  <si>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</si>
  <si>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</si>
  <si>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</si>
  <si>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</si>
  <si>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</si>
  <si>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</si>
  <si>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</si>
  <si>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</si>
  <si>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</si>
  <si>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</si>
  <si>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</si>
  <si>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</si>
  <si>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</si>
  <si>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</si>
  <si>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</si>
  <si>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</si>
  <si>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</si>
  <si>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</si>
  <si>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</si>
  <si>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</si>
  <si>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</si>
  <si>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</si>
  <si>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</si>
  <si>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</si>
  <si>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</si>
  <si>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</si>
  <si>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</si>
  <si>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</si>
  <si>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</si>
  <si>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</si>
  <si>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</si>
  <si>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</si>
  <si>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</si>
  <si>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</si>
  <si>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</si>
  <si>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</si>
  <si>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</si>
  <si>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</si>
  <si>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</si>
  <si>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</si>
  <si>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</si>
  <si>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</si>
  <si>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</si>
  <si>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</si>
  <si>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</si>
  <si>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</si>
  <si>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</si>
  <si>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</si>
  <si>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</si>
  <si>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</si>
  <si>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</si>
  <si>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</si>
  <si>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</si>
  <si>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</si>
  <si>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</si>
  <si>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</si>
  <si>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</si>
  <si>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</si>
  <si>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</si>
  <si>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</si>
  <si>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</si>
  <si>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</si>
  <si>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</si>
  <si>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</si>
  <si>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</si>
  <si>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</si>
  <si>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</si>
  <si>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</si>
  <si>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</si>
  <si>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</si>
  <si>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</si>
  <si>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</si>
  <si>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</si>
  <si>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</si>
  <si>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</si>
  <si>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</si>
  <si>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</si>
  <si>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</si>
  <si>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</si>
  <si>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</si>
  <si>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</si>
  <si>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</si>
  <si>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</si>
  <si>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</si>
  <si>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</si>
  <si>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</si>
  <si>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</si>
  <si>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</si>
  <si>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</si>
  <si>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</si>
  <si>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</si>
  <si>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</si>
  <si>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</si>
  <si>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</si>
  <si>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</si>
  <si>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</si>
  <si>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</si>
  <si>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</si>
  <si>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</si>
  <si>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</si>
  <si>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</si>
  <si>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</si>
  <si>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</si>
  <si>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</si>
  <si>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</si>
  <si>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</si>
  <si>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</si>
  <si>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</si>
  <si>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</si>
  <si>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</si>
  <si>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</si>
  <si>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</si>
  <si>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</si>
  <si>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</si>
  <si>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</si>
  <si>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</si>
  <si>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</si>
  <si>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</si>
  <si>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</si>
  <si>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</si>
  <si>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</si>
  <si>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</si>
  <si>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</si>
  <si>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</si>
  <si>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</si>
  <si>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</si>
  <si>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</si>
  <si>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</si>
  <si>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</si>
  <si>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</si>
  <si>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</si>
  <si>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</si>
  <si>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</si>
  <si>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</si>
  <si>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</si>
  <si>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</si>
  <si>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</si>
  <si>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</si>
  <si>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</si>
  <si>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</si>
  <si>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</si>
  <si>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</si>
  <si>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</si>
  <si>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</si>
  <si>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</si>
  <si>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</si>
  <si>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</si>
  <si>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</si>
  <si>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</si>
  <si>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</si>
  <si>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</si>
  <si>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</si>
  <si>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</si>
  <si>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</si>
  <si>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</si>
  <si>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</si>
  <si>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</si>
  <si>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</si>
  <si>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</si>
  <si>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</si>
  <si>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</si>
  <si>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</si>
  <si>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</si>
  <si>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</si>
  <si>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</si>
  <si>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</si>
  <si>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</si>
  <si>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</si>
  <si>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</si>
  <si>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</si>
  <si>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</si>
  <si>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</si>
  <si>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</si>
  <si>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</si>
  <si>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</si>
  <si>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</si>
  <si>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</si>
  <si>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</si>
  <si>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</si>
  <si>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</si>
  <si>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</si>
  <si>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</si>
  <si>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</si>
  <si>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</si>
  <si>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</si>
  <si>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</si>
  <si>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</si>
  <si>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</si>
  <si>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</si>
  <si>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</si>
  <si>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</si>
  <si>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</si>
  <si>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</si>
  <si>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</si>
  <si>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</si>
  <si>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</si>
  <si>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</si>
  <si>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</si>
  <si>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</si>
  <si>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</si>
  <si>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</si>
  <si>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</si>
  <si>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</si>
  <si>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</si>
  <si>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</si>
  <si>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</si>
  <si>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</si>
  <si>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</si>
  <si>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</si>
  <si>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</si>
  <si>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</si>
  <si>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</si>
  <si>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</si>
  <si>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</si>
  <si>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</si>
  <si>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</si>
  <si>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</si>
  <si>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</si>
  <si>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</si>
  <si>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</si>
  <si>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</si>
  <si>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</si>
  <si>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</si>
  <si>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</si>
  <si>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</si>
  <si>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</si>
  <si>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</si>
  <si>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</si>
  <si>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</si>
  <si>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</si>
  <si>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</si>
  <si>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</si>
  <si>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</si>
  <si>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</si>
  <si>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</si>
  <si>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</si>
  <si>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</si>
  <si>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</si>
  <si>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</si>
  <si>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</si>
  <si>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</si>
  <si>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</si>
  <si>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</si>
  <si>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</si>
  <si>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</si>
  <si>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</si>
  <si>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</si>
  <si>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</si>
  <si>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</si>
  <si>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</si>
  <si>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</si>
  <si>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</si>
  <si>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</si>
  <si>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</si>
  <si>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</si>
  <si>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</si>
  <si>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</si>
  <si>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</si>
  <si>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</si>
  <si>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</si>
  <si>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</si>
  <si>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</si>
  <si>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</si>
  <si>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</si>
  <si>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</si>
  <si>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</si>
  <si>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</si>
  <si>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</si>
  <si>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</si>
  <si>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</si>
  <si>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</si>
  <si>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</si>
  <si>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</si>
  <si>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</si>
  <si>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</si>
  <si>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</si>
  <si>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</si>
  <si>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</si>
  <si>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</si>
  <si>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</si>
  <si>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</si>
  <si>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</si>
  <si>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</si>
  <si>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</si>
  <si>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</si>
  <si>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</si>
  <si>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</si>
  <si>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</si>
  <si>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</si>
  <si>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</si>
  <si>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</si>
  <si>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</si>
  <si>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</si>
  <si>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</si>
  <si>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</si>
  <si>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</si>
  <si>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</si>
  <si>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</si>
  <si>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</si>
  <si>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</si>
  <si>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</si>
  <si>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</si>
  <si>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</si>
  <si>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</si>
  <si>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</si>
  <si>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</si>
  <si>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</si>
  <si>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</si>
  <si>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</si>
  <si>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</si>
  <si>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</si>
  <si>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</si>
  <si>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</si>
  <si>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</si>
  <si>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</si>
  <si>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</si>
  <si>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</si>
  <si>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</si>
  <si>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</si>
  <si>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</si>
  <si>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</si>
  <si>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</si>
  <si>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</si>
  <si>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</si>
  <si>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</si>
  <si>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</si>
  <si>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</si>
  <si>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</si>
  <si>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</si>
  <si>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</si>
  <si>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</si>
  <si>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</si>
  <si>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</si>
  <si>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</si>
  <si>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</si>
  <si>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</si>
  <si>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</si>
  <si>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</si>
  <si>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</si>
  <si>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</si>
  <si>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</si>
  <si>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</si>
  <si>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</si>
  <si>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</si>
  <si>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</si>
  <si>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</si>
  <si>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</si>
  <si>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</si>
  <si>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</si>
  <si>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</si>
  <si>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</si>
  <si>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</si>
  <si>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</si>
  <si>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</si>
  <si>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</si>
  <si>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</si>
  <si>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</si>
  <si>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</si>
  <si>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</si>
  <si>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</si>
  <si>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</si>
  <si>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</si>
  <si>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</si>
  <si>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</si>
  <si>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</si>
  <si>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</si>
  <si>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</si>
  <si>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</si>
  <si>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</si>
  <si>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</si>
  <si>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</si>
  <si>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</si>
  <si>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</si>
  <si>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</si>
  <si>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</si>
  <si>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</si>
  <si>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</si>
  <si>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</si>
  <si>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</si>
  <si>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</si>
  <si>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</si>
  <si>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</si>
  <si>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</si>
  <si>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</si>
  <si>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</si>
  <si>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</si>
  <si>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</si>
  <si>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</si>
  <si>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</si>
  <si>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</si>
  <si>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</si>
  <si>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</si>
  <si>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</si>
  <si>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</si>
  <si>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</si>
  <si>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</si>
  <si>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</si>
  <si>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</si>
  <si>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</si>
  <si>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</si>
  <si>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</si>
  <si>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</si>
  <si>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</si>
  <si>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</si>
  <si>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</si>
  <si>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</si>
  <si>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</si>
  <si>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</si>
  <si>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</si>
  <si>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</si>
  <si>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</si>
  <si>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</si>
  <si>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</si>
  <si>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</si>
  <si>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</si>
  <si>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</si>
  <si>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</si>
  <si>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</si>
  <si>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</si>
  <si>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</si>
  <si>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</si>
  <si>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</si>
  <si>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</si>
  <si>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</si>
  <si>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</si>
  <si>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</si>
  <si>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</si>
  <si>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</si>
  <si>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</si>
  <si>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</si>
  <si>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</si>
  <si>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</si>
  <si>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</si>
  <si>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</si>
  <si>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</si>
  <si>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</si>
  <si>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</si>
  <si>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</si>
  <si>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</si>
  <si>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</si>
  <si>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</si>
  <si>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</si>
  <si>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</si>
  <si>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</si>
  <si>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</si>
  <si>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</si>
  <si>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</si>
  <si>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</si>
  <si>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</si>
  <si>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</si>
  <si>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</si>
  <si>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</si>
  <si>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</si>
  <si>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</si>
  <si>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</si>
  <si>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</si>
  <si>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</si>
  <si>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</si>
  <si>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</si>
  <si>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</si>
  <si>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</si>
  <si>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</si>
  <si>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</si>
  <si>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</si>
  <si>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</si>
  <si>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</si>
  <si>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</si>
  <si>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</si>
  <si>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</si>
  <si>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</si>
  <si>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</si>
  <si>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</si>
  <si>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</si>
  <si>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</si>
  <si>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</si>
  <si>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</si>
  <si>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</si>
  <si>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</si>
  <si>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</si>
  <si>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</si>
  <si>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</si>
  <si>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</si>
  <si>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</si>
  <si>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</si>
  <si>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</si>
  <si>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</si>
  <si>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</si>
  <si>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</si>
  <si>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</si>
  <si>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</si>
  <si>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</si>
  <si>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</si>
  <si>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</si>
  <si>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</si>
  <si>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</si>
  <si>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</si>
  <si>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</si>
  <si>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</si>
  <si>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</si>
  <si>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</si>
  <si>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</si>
  <si>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</si>
  <si>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</si>
  <si>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</si>
  <si>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</si>
  <si>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</si>
  <si>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</si>
  <si>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</si>
  <si>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</si>
  <si>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</si>
  <si>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</si>
  <si>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</si>
  <si>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</si>
  <si>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</si>
  <si>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</si>
  <si>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</si>
  <si>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</si>
  <si>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</si>
  <si>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</si>
  <si>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</si>
  <si>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</si>
  <si>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</si>
  <si>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</si>
  <si>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</si>
  <si>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</si>
  <si>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</si>
  <si>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</si>
  <si>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</si>
  <si>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</si>
  <si>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</si>
  <si>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</si>
  <si>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</si>
  <si>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</si>
  <si>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</si>
  <si>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</si>
  <si>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</si>
  <si>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</si>
  <si>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</si>
  <si>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</si>
  <si>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</si>
  <si>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</si>
  <si>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</si>
  <si>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</si>
  <si>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</si>
  <si>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</si>
  <si>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</si>
  <si>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</si>
  <si>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</si>
  <si>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</si>
  <si>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</si>
  <si>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</si>
  <si>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</si>
  <si>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</si>
  <si>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</si>
  <si>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</si>
  <si>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</si>
  <si>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</si>
  <si>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</si>
  <si>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</si>
  <si>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</si>
  <si>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</si>
  <si>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</si>
  <si>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</si>
  <si>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</si>
  <si>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</si>
  <si>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</si>
  <si>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</si>
  <si>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</si>
  <si>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</si>
  <si>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</si>
  <si>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</si>
  <si>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</si>
  <si>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</si>
  <si>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</si>
  <si>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</si>
  <si>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</si>
  <si>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</si>
  <si>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</si>
  <si>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</si>
  <si>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</si>
  <si>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</si>
  <si>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</si>
  <si>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</si>
  <si>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</si>
  <si>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</si>
  <si>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</si>
  <si>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</si>
  <si>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</si>
  <si>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</si>
  <si>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</si>
  <si>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</si>
  <si>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</si>
  <si>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</si>
  <si>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</si>
  <si>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</si>
  <si>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</si>
  <si>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</si>
  <si>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</si>
  <si>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</si>
  <si>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</si>
  <si>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</si>
  <si>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</si>
  <si>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</si>
  <si>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</si>
  <si>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</si>
  <si>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</si>
  <si>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</si>
  <si>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</si>
  <si>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</si>
  <si>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</si>
  <si>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</si>
  <si>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</si>
  <si>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</si>
  <si>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</si>
  <si>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</si>
  <si>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</si>
  <si>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</si>
  <si>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</si>
  <si>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</si>
  <si>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</si>
  <si>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</si>
  <si>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</si>
  <si>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</si>
  <si>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</si>
  <si>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</si>
  <si>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</si>
  <si>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</si>
  <si>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</si>
  <si>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</si>
  <si>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</si>
  <si>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</si>
  <si>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</si>
  <si>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</si>
  <si>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</si>
  <si>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</si>
  <si>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</si>
  <si>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</si>
  <si>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</si>
  <si>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</si>
  <si>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</si>
  <si>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</si>
  <si>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</si>
  <si>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</si>
  <si>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</si>
  <si>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</si>
  <si>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</si>
  <si>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</si>
  <si>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</si>
  <si>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</si>
  <si>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</si>
  <si>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</si>
  <si>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</si>
  <si>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</si>
  <si>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</si>
  <si>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</si>
  <si>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</si>
  <si>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</si>
  <si>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</si>
  <si>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</si>
  <si>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</si>
  <si>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</si>
  <si>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</si>
  <si>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</si>
  <si>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</si>
  <si>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</si>
  <si>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</si>
  <si>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</si>
  <si>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</si>
  <si>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</si>
  <si>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</si>
  <si>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</si>
  <si>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</si>
  <si>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</si>
  <si>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</si>
  <si>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</si>
  <si>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</si>
  <si>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</si>
  <si>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</si>
  <si>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</si>
  <si>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</si>
  <si>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</si>
  <si>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</si>
  <si>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</si>
  <si>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</si>
  <si>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</si>
  <si>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</si>
  <si>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</si>
  <si>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</si>
  <si>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</si>
  <si>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</si>
  <si>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</si>
  <si>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</si>
  <si>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</si>
  <si>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</si>
  <si>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</si>
  <si>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</si>
  <si>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</si>
  <si>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</si>
  <si>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</si>
  <si>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</si>
  <si>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</si>
  <si>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</si>
  <si>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</si>
  <si>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</si>
  <si>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</si>
  <si>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</si>
  <si>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</si>
  <si>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</si>
  <si>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</si>
  <si>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</si>
  <si>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</si>
  <si>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</si>
  <si>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</si>
  <si>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</si>
  <si>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</si>
  <si>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</si>
  <si>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</si>
  <si>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</si>
  <si>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</si>
  <si>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</si>
  <si>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</si>
  <si>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</si>
  <si>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</si>
  <si>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</si>
  <si>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</si>
  <si>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</si>
  <si>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</si>
  <si>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</si>
  <si>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</si>
  <si>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</si>
  <si>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</si>
  <si>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</si>
  <si>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</si>
  <si>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</si>
  <si>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</si>
  <si>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</si>
  <si>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</si>
  <si>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</si>
  <si>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</si>
  <si>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</si>
  <si>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</si>
  <si>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</si>
  <si>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</si>
  <si>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</si>
  <si>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</si>
  <si>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</si>
  <si>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</si>
  <si>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</si>
  <si>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</si>
  <si>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</si>
  <si>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</si>
  <si>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</si>
  <si>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</si>
  <si>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</si>
  <si>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</si>
  <si>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</si>
  <si>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</si>
  <si>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</si>
  <si>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</si>
  <si>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</si>
  <si>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</si>
  <si>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</si>
  <si>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</si>
  <si>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</si>
  <si>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</si>
  <si>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</si>
  <si>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</si>
  <si>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</si>
  <si>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</si>
  <si>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</si>
  <si>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</si>
  <si>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</si>
  <si>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</si>
  <si>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</si>
  <si>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</si>
  <si>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</si>
  <si>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</si>
  <si>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</si>
  <si>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</si>
  <si>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</si>
  <si>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</si>
  <si>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</si>
  <si>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</si>
  <si>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</si>
  <si>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</si>
  <si>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</si>
  <si>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</si>
  <si>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</si>
  <si>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</si>
  <si>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</si>
  <si>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</si>
  <si>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</si>
  <si>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</si>
  <si>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</si>
  <si>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</si>
  <si>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</si>
  <si>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</si>
  <si>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</si>
  <si>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</si>
  <si>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</si>
  <si>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</si>
  <si>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</si>
  <si>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</si>
  <si>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</si>
  <si>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</si>
  <si>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</si>
  <si>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</si>
  <si>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</si>
  <si>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</si>
  <si>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</si>
  <si>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</si>
  <si>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</si>
  <si>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</si>
  <si>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</si>
  <si>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</si>
  <si>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</si>
  <si>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</si>
  <si>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</si>
  <si>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</si>
  <si>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</si>
  <si>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</si>
  <si>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</si>
  <si>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</si>
  <si>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</si>
  <si>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</si>
  <si>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</si>
  <si>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</si>
  <si>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</si>
  <si>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</si>
  <si>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</si>
  <si>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</si>
  <si>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</si>
  <si>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</si>
  <si>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</si>
  <si>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</si>
  <si>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</si>
  <si>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</si>
  <si>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</si>
  <si>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</si>
  <si>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</si>
  <si>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</si>
  <si>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</si>
  <si>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</si>
  <si>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</si>
  <si>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</si>
  <si>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</si>
  <si>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</si>
  <si>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</si>
  <si>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</si>
  <si>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</si>
  <si>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</si>
  <si>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</si>
  <si>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</si>
  <si>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</si>
  <si>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</si>
  <si>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</si>
  <si>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</si>
  <si>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</si>
  <si>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</si>
  <si>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</si>
  <si>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</si>
  <si>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</si>
  <si>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</si>
  <si>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</si>
  <si>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</si>
  <si>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</si>
  <si>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</si>
  <si>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</si>
  <si>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</si>
  <si>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</si>
  <si>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</si>
  <si>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</si>
  <si>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</si>
  <si>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</si>
  <si>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</si>
  <si>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</si>
  <si>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</si>
  <si>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</si>
  <si>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</si>
  <si>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</si>
  <si>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</si>
  <si>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</si>
  <si>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</si>
  <si>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</si>
  <si>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</si>
  <si>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</si>
  <si>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</si>
  <si>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</si>
  <si>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</si>
  <si>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</si>
  <si>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</si>
  <si>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</si>
  <si>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</si>
  <si>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</si>
  <si>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</si>
  <si>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</si>
  <si>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</si>
  <si>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</si>
  <si>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</si>
  <si>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</si>
  <si>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</si>
  <si>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</si>
  <si>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</si>
  <si>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</si>
  <si>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</si>
  <si>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</si>
  <si>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</si>
  <si>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</si>
  <si>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</si>
  <si>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</si>
  <si>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</si>
  <si>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</si>
  <si>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</si>
  <si>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</si>
  <si>
    <t xml:space="preserve">Elaboracion de los planes de mejora de la metodología de Observación de la Práctica Clínica (OPC) según los resultados del monitoreo de calidad de los servicios en los CEAS priorizados </t>
  </si>
  <si>
    <t>Seguimiento a la Planificación  Post Evento Obstétrico</t>
  </si>
  <si>
    <t>Monitoreo  al apego a protocolo de atencion en consulta prenatal.</t>
  </si>
  <si>
    <t>1.2.1.04</t>
  </si>
  <si>
    <t xml:space="preserve"> Plan  y Listado de participación</t>
  </si>
  <si>
    <t>CEAS PRIORIZADOS 2025
SRS Ozama
1. Hospital Municipal de Engombe
2. Hospital Dr. Francisco Vicente Castro Sandoval 
3. Hospital General Vinicio Calventi
4. Hospital Provincial Dr.Angel Contreras
SRS Valdesia
5. Hospital Provincial Nuestra Señora de Regla
SRS Cibao Norte
6. Hospital Provincial Dr.Ricardo Limardo
SRS Cibao Nordeste
7. Hospital Provincial Dr. Antonio Yapor Heded
SRS Enriquillo
8. Hospital Provincial Dr. Elio Fiallo</t>
  </si>
  <si>
    <t>1.1.1.04</t>
  </si>
  <si>
    <t>Elaboración e implementación del plan de mejora para fortalecimiento de las Unidades de Atención Integrales en Salud para personas Adolescentes</t>
  </si>
  <si>
    <t>Plan (elaboración enero) Seguimiento (abril, julio, octubre)</t>
  </si>
  <si>
    <t>Municipal de Engombe, Municipal de Las Caobas, Dr. Ricardo Limardo, Nuestra Señora de Regla, Municipal de Yamasá, El Almirante, General Santiago Rodríguez, Municipal Villa Duarte, Dr. Francisco Castro Sandoval, Municipal Bajos de Nizao, Municipal de Imbert, Dr. Vinicio Calventi, Municipal de CENOVI, Municipal Dr. Felipe J. Achercar, Municipal de Castillo, Provincial Dr. Antonio Yapor Heded, Municipal Dr. Antonio Céspedes, Inmaculada Concepción, Dr.Rodolfo de la Cruz,Dr. Federico Armando Aybar, Dr.Sigfredo Alba, Boca Chica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</si>
</sst>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Calibri"/>
      <family val="2"/>
      <scheme val="minor"/>
    </font>
    <font>
      <sz val="11"/>
      <color theme="0"/>
      <name val="Times New Roman"/>
      <family val="1"/>
    </font>
    <font>
      <sz val="10"/>
      <color theme="1"/>
      <name val="Calibri"/>
      <family val="2"/>
      <scheme val="minor"/>
    </font>
    <font>
      <sz val="11"/>
      <color theme="1"/>
      <name val="Times New Roman"/>
      <family val="1"/>
    </font>
    <font>
      <sz val="11"/>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b/>
      <sz val="11"/>
      <color theme="0"/>
      <name val="Calibri"/>
      <family val="2"/>
      <scheme val="minor"/>
    </font>
    <font>
      <b/>
      <sz val="11"/>
      <color rgb="FFFF0000"/>
      <name val="Calibri"/>
      <family val="2"/>
      <scheme val="minor"/>
    </font>
    <font>
      <sz val="8"/>
      <color rgb="FFFF0000"/>
      <name val="Calibri"/>
      <family val="2"/>
      <scheme val="minor"/>
    </font>
    <font>
      <b/>
      <sz val="11"/>
      <color rgb="FF000000"/>
      <name val="Calibri"/>
      <family val="2"/>
      <scheme val="minor"/>
    </font>
    <font>
      <sz val="11"/>
      <color rgb="FF000000"/>
      <name val="Calibri"/>
      <family val="2"/>
      <scheme val="minor"/>
    </font>
    <font>
      <u/>
      <sz val="11"/>
      <color rgb="FF000000"/>
      <name val="Calibri"/>
      <family val="2"/>
      <scheme val="minor"/>
    </font>
    <font>
      <sz val="10"/>
      <color rgb="FF000000"/>
      <name val="Tw Cen MT"/>
      <family val="2"/>
    </font>
    <font>
      <sz val="10"/>
      <color theme="1"/>
      <name val="Tw Cen MT"/>
      <family val="2"/>
    </font>
    <font>
      <sz val="10"/>
      <name val="Tw Cen MT"/>
      <family val="2"/>
    </font>
  </fonts>
  <fills count="4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rgb="FF66FF33"/>
        <bgColor indexed="64"/>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43" fontId="7"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4" fillId="0" borderId="0"/>
    <xf numFmtId="43" fontId="42" fillId="0" borderId="0" applyFont="0" applyFill="0" applyBorder="0" applyAlignment="0" applyProtection="0"/>
  </cellStyleXfs>
  <cellXfs count="543">
    <xf numFmtId="0" fontId="0" fillId="0" borderId="0" xfId="0"/>
    <xf numFmtId="0" fontId="5" fillId="0" borderId="0" xfId="4"/>
    <xf numFmtId="0" fontId="8" fillId="0" borderId="0" xfId="4" applyFont="1"/>
    <xf numFmtId="0" fontId="9" fillId="3" borderId="0" xfId="0" applyFont="1" applyFill="1"/>
    <xf numFmtId="0" fontId="10" fillId="4" borderId="4" xfId="0" applyFont="1" applyFill="1" applyBorder="1" applyAlignment="1">
      <alignment horizontal="left"/>
    </xf>
    <xf numFmtId="0" fontId="10" fillId="4" borderId="0" xfId="0" applyFont="1" applyFill="1" applyAlignment="1">
      <alignment horizontal="center"/>
    </xf>
    <xf numFmtId="0" fontId="10" fillId="5" borderId="5" xfId="0" applyFont="1" applyFill="1" applyBorder="1" applyAlignment="1">
      <alignment horizontal="center" vertical="center" wrapText="1"/>
    </xf>
    <xf numFmtId="0" fontId="10" fillId="6" borderId="7" xfId="0" applyFont="1" applyFill="1" applyBorder="1"/>
    <xf numFmtId="0" fontId="11" fillId="6" borderId="7" xfId="0" applyFont="1" applyFill="1" applyBorder="1"/>
    <xf numFmtId="0" fontId="11" fillId="2" borderId="7" xfId="0" applyFont="1" applyFill="1" applyBorder="1"/>
    <xf numFmtId="0" fontId="11" fillId="2" borderId="7" xfId="0" applyFont="1" applyFill="1" applyBorder="1" applyAlignment="1">
      <alignment horizontal="left"/>
    </xf>
    <xf numFmtId="0" fontId="10" fillId="7" borderId="8" xfId="0" applyFont="1" applyFill="1" applyBorder="1"/>
    <xf numFmtId="0" fontId="11" fillId="7" borderId="8" xfId="0" applyFont="1" applyFill="1" applyBorder="1"/>
    <xf numFmtId="0" fontId="10" fillId="8" borderId="8" xfId="0" applyFont="1" applyFill="1" applyBorder="1" applyAlignment="1" applyProtection="1">
      <alignment horizontal="right" vertical="center"/>
      <protection locked="0"/>
    </xf>
    <xf numFmtId="0" fontId="11" fillId="0" borderId="0" xfId="0" applyFont="1"/>
    <xf numFmtId="0" fontId="10" fillId="4" borderId="11" xfId="0" applyFont="1" applyFill="1" applyBorder="1" applyAlignment="1">
      <alignment horizontal="left"/>
    </xf>
    <xf numFmtId="0" fontId="11" fillId="10" borderId="0" xfId="0" applyFont="1" applyFill="1" applyProtection="1">
      <protection locked="0"/>
    </xf>
    <xf numFmtId="0" fontId="7" fillId="0" borderId="0" xfId="2"/>
    <xf numFmtId="0" fontId="10" fillId="10" borderId="11" xfId="0" applyFont="1" applyFill="1" applyBorder="1" applyProtection="1">
      <protection locked="0"/>
    </xf>
    <xf numFmtId="0" fontId="10" fillId="10" borderId="0" xfId="0" applyFont="1" applyFill="1" applyProtection="1">
      <protection locked="0"/>
    </xf>
    <xf numFmtId="0" fontId="14" fillId="12" borderId="0" xfId="0" applyFont="1" applyFill="1" applyProtection="1">
      <protection locked="0"/>
    </xf>
    <xf numFmtId="0" fontId="15" fillId="5" borderId="5" xfId="0" applyFont="1" applyFill="1" applyBorder="1" applyAlignment="1">
      <alignment horizontal="center" vertical="center" wrapText="1"/>
    </xf>
    <xf numFmtId="0" fontId="16" fillId="12" borderId="11" xfId="0" applyFont="1" applyFill="1" applyBorder="1" applyAlignment="1" applyProtection="1">
      <alignment horizontal="left"/>
      <protection locked="0"/>
    </xf>
    <xf numFmtId="0" fontId="17" fillId="12" borderId="0" xfId="0" applyFont="1" applyFill="1"/>
    <xf numFmtId="0" fontId="17" fillId="12" borderId="12" xfId="0" applyFont="1" applyFill="1" applyBorder="1"/>
    <xf numFmtId="0" fontId="14" fillId="12" borderId="11" xfId="0" applyFont="1" applyFill="1" applyBorder="1" applyProtection="1">
      <protection locked="0"/>
    </xf>
    <xf numFmtId="0" fontId="14" fillId="12" borderId="12" xfId="0" applyFont="1" applyFill="1" applyBorder="1" applyProtection="1">
      <protection locked="0"/>
    </xf>
    <xf numFmtId="164" fontId="19" fillId="9" borderId="7" xfId="1" applyNumberFormat="1" applyFont="1" applyFill="1" applyBorder="1" applyAlignment="1" applyProtection="1">
      <alignment vertical="top"/>
      <protection locked="0"/>
    </xf>
    <xf numFmtId="164" fontId="18" fillId="9" borderId="7" xfId="1" applyNumberFormat="1" applyFont="1" applyFill="1" applyBorder="1" applyAlignment="1" applyProtection="1">
      <alignment vertical="top"/>
      <protection locked="0"/>
    </xf>
    <xf numFmtId="164" fontId="18" fillId="9" borderId="7" xfId="1" applyNumberFormat="1" applyFont="1" applyFill="1" applyBorder="1" applyAlignment="1" applyProtection="1">
      <alignment vertical="top"/>
    </xf>
    <xf numFmtId="164" fontId="18" fillId="9" borderId="7" xfId="1" applyNumberFormat="1" applyFont="1" applyFill="1" applyBorder="1" applyAlignment="1" applyProtection="1">
      <alignment vertical="top"/>
      <protection hidden="1"/>
    </xf>
    <xf numFmtId="164" fontId="18" fillId="13" borderId="6" xfId="1" applyNumberFormat="1" applyFont="1" applyFill="1" applyBorder="1" applyAlignment="1" applyProtection="1">
      <alignment vertical="top"/>
      <protection hidden="1"/>
    </xf>
    <xf numFmtId="164" fontId="18" fillId="14" borderId="7" xfId="1" applyNumberFormat="1" applyFont="1" applyFill="1" applyBorder="1" applyAlignment="1" applyProtection="1">
      <alignment vertical="top"/>
      <protection hidden="1"/>
    </xf>
    <xf numFmtId="164" fontId="18" fillId="15" borderId="7" xfId="1" applyNumberFormat="1" applyFont="1" applyFill="1" applyBorder="1" applyAlignment="1" applyProtection="1">
      <alignment vertical="top"/>
      <protection hidden="1"/>
    </xf>
    <xf numFmtId="0" fontId="14" fillId="11" borderId="11" xfId="0" applyFont="1" applyFill="1" applyBorder="1" applyAlignment="1">
      <alignment horizontal="left"/>
    </xf>
    <xf numFmtId="0" fontId="9" fillId="11" borderId="0" xfId="0" applyFont="1" applyFill="1"/>
    <xf numFmtId="0" fontId="6" fillId="11" borderId="0" xfId="0" applyFont="1" applyFill="1"/>
    <xf numFmtId="0" fontId="6" fillId="11" borderId="0" xfId="4" applyFont="1" applyFill="1"/>
    <xf numFmtId="4" fontId="14" fillId="11" borderId="1" xfId="0" applyNumberFormat="1" applyFont="1" applyFill="1" applyBorder="1"/>
    <xf numFmtId="4" fontId="9" fillId="11" borderId="0" xfId="0" applyNumberFormat="1" applyFont="1" applyFill="1" applyProtection="1">
      <protection locked="0"/>
    </xf>
    <xf numFmtId="0" fontId="5" fillId="11" borderId="12" xfId="4" applyFill="1" applyBorder="1"/>
    <xf numFmtId="4" fontId="9" fillId="3" borderId="0" xfId="0" applyNumberFormat="1" applyFont="1" applyFill="1" applyProtection="1">
      <protection locked="0"/>
    </xf>
    <xf numFmtId="0" fontId="9" fillId="3" borderId="11" xfId="0" applyFont="1" applyFill="1" applyBorder="1" applyAlignment="1">
      <alignment horizontal="left"/>
    </xf>
    <xf numFmtId="0" fontId="6" fillId="3" borderId="0" xfId="0" applyFont="1" applyFill="1"/>
    <xf numFmtId="0" fontId="6" fillId="3" borderId="0" xfId="4" applyFont="1" applyFill="1"/>
    <xf numFmtId="0" fontId="5" fillId="3" borderId="12" xfId="4" applyFill="1" applyBorder="1"/>
    <xf numFmtId="0" fontId="9" fillId="3" borderId="11" xfId="2" applyFont="1" applyFill="1" applyBorder="1" applyAlignment="1">
      <alignment horizontal="left" indent="2"/>
    </xf>
    <xf numFmtId="0" fontId="20" fillId="9" borderId="15" xfId="2" applyFont="1" applyFill="1" applyBorder="1" applyAlignment="1">
      <alignment vertical="top"/>
    </xf>
    <xf numFmtId="0" fontId="19" fillId="9" borderId="15" xfId="2" applyFont="1" applyFill="1" applyBorder="1" applyAlignment="1">
      <alignment horizontal="center" vertical="top"/>
    </xf>
    <xf numFmtId="0" fontId="19" fillId="9" borderId="15" xfId="0" applyFont="1" applyFill="1" applyBorder="1" applyAlignment="1">
      <alignment vertical="top" wrapText="1"/>
    </xf>
    <xf numFmtId="0" fontId="20" fillId="9" borderId="15" xfId="0" applyFont="1" applyFill="1" applyBorder="1" applyProtection="1">
      <protection locked="0"/>
    </xf>
    <xf numFmtId="164" fontId="18" fillId="15" borderId="7" xfId="1" applyNumberFormat="1" applyFont="1" applyFill="1" applyBorder="1" applyAlignment="1" applyProtection="1">
      <alignment horizontal="right" vertical="top"/>
      <protection hidden="1"/>
    </xf>
    <xf numFmtId="164" fontId="18" fillId="14"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protection hidden="1"/>
    </xf>
    <xf numFmtId="164" fontId="18" fillId="3" borderId="7" xfId="1" applyNumberFormat="1" applyFont="1" applyFill="1" applyBorder="1" applyAlignment="1" applyProtection="1">
      <alignment horizontal="right" vertical="top"/>
    </xf>
    <xf numFmtId="0" fontId="10" fillId="10" borderId="4" xfId="0" applyFont="1" applyFill="1" applyBorder="1" applyProtection="1">
      <protection locked="0"/>
    </xf>
    <xf numFmtId="0" fontId="0" fillId="9" borderId="0" xfId="0" applyFill="1"/>
    <xf numFmtId="0" fontId="25" fillId="9" borderId="0" xfId="0" applyFont="1" applyFill="1"/>
    <xf numFmtId="0" fontId="26" fillId="9" borderId="0" xfId="0" applyFont="1" applyFill="1"/>
    <xf numFmtId="4" fontId="9" fillId="3" borderId="0" xfId="0" applyNumberFormat="1" applyFont="1" applyFill="1"/>
    <xf numFmtId="4" fontId="9" fillId="3" borderId="2" xfId="0" applyNumberFormat="1" applyFont="1" applyFill="1" applyBorder="1"/>
    <xf numFmtId="0" fontId="7" fillId="9" borderId="0" xfId="2" applyFill="1" applyProtection="1">
      <protection locked="0"/>
    </xf>
    <xf numFmtId="0" fontId="7" fillId="9" borderId="0" xfId="2" applyFill="1"/>
    <xf numFmtId="0" fontId="5" fillId="9" borderId="0" xfId="4" applyFill="1"/>
    <xf numFmtId="0" fontId="8" fillId="9" borderId="0" xfId="4" applyFont="1" applyFill="1"/>
    <xf numFmtId="0" fontId="10" fillId="8" borderId="19" xfId="0" applyFont="1" applyFill="1" applyBorder="1" applyAlignment="1" applyProtection="1">
      <alignment horizontal="center" vertical="center" wrapText="1"/>
      <protection locked="0"/>
    </xf>
    <xf numFmtId="0" fontId="11" fillId="2" borderId="7" xfId="0" applyFont="1" applyFill="1" applyBorder="1" applyAlignment="1">
      <alignment horizontal="center"/>
    </xf>
    <xf numFmtId="3" fontId="10" fillId="6" borderId="7" xfId="0" applyNumberFormat="1" applyFont="1" applyFill="1" applyBorder="1" applyAlignment="1">
      <alignment horizontal="center"/>
    </xf>
    <xf numFmtId="3" fontId="10" fillId="6" borderId="0" xfId="0" applyNumberFormat="1" applyFont="1" applyFill="1" applyAlignment="1">
      <alignment horizontal="center"/>
    </xf>
    <xf numFmtId="0" fontId="10" fillId="6" borderId="7" xfId="0" applyFont="1" applyFill="1" applyBorder="1" applyAlignment="1">
      <alignment horizontal="center"/>
    </xf>
    <xf numFmtId="3" fontId="11" fillId="2" borderId="7" xfId="0" applyNumberFormat="1" applyFont="1" applyFill="1" applyBorder="1" applyAlignment="1" applyProtection="1">
      <alignment horizontal="center"/>
      <protection locked="0"/>
    </xf>
    <xf numFmtId="3" fontId="11" fillId="2" borderId="22" xfId="0" applyNumberFormat="1" applyFont="1" applyFill="1" applyBorder="1" applyAlignment="1" applyProtection="1">
      <alignment horizontal="center"/>
      <protection locked="0"/>
    </xf>
    <xf numFmtId="0" fontId="10" fillId="9" borderId="20" xfId="0" applyFont="1" applyFill="1" applyBorder="1" applyAlignment="1" applyProtection="1">
      <alignment horizontal="center"/>
      <protection locked="0"/>
    </xf>
    <xf numFmtId="0" fontId="11" fillId="9" borderId="4" xfId="0" applyFont="1" applyFill="1" applyBorder="1" applyAlignment="1">
      <alignment horizontal="right"/>
    </xf>
    <xf numFmtId="0" fontId="11" fillId="9" borderId="21" xfId="0" applyFont="1" applyFill="1" applyBorder="1" applyAlignment="1">
      <alignment horizontal="right"/>
    </xf>
    <xf numFmtId="0" fontId="11" fillId="2" borderId="7" xfId="0" applyFont="1" applyFill="1" applyBorder="1" applyProtection="1">
      <protection locked="0"/>
    </xf>
    <xf numFmtId="0" fontId="11" fillId="2" borderId="7" xfId="0" applyFont="1" applyFill="1" applyBorder="1" applyAlignment="1" applyProtection="1">
      <alignment horizontal="center"/>
      <protection locked="0"/>
    </xf>
    <xf numFmtId="0" fontId="18" fillId="0" borderId="0" xfId="0" applyFont="1"/>
    <xf numFmtId="0" fontId="30" fillId="0" borderId="0" xfId="0" applyFont="1"/>
    <xf numFmtId="0" fontId="31" fillId="0" borderId="0" xfId="0" applyFont="1"/>
    <xf numFmtId="0" fontId="10" fillId="0" borderId="0" xfId="0" applyFont="1"/>
    <xf numFmtId="0" fontId="10" fillId="0" borderId="0" xfId="0" applyFont="1" applyProtection="1">
      <protection locked="0"/>
    </xf>
    <xf numFmtId="0" fontId="10" fillId="0" borderId="0" xfId="0" applyFont="1" applyAlignment="1">
      <alignment horizontal="left" indent="15"/>
    </xf>
    <xf numFmtId="49" fontId="32" fillId="17" borderId="18" xfId="4" applyNumberFormat="1" applyFont="1" applyFill="1" applyBorder="1" applyAlignment="1">
      <alignment horizontal="left" vertical="center" wrapText="1"/>
    </xf>
    <xf numFmtId="49" fontId="32" fillId="17" borderId="18" xfId="4" applyNumberFormat="1" applyFont="1" applyFill="1" applyBorder="1" applyAlignment="1">
      <alignment horizontal="center" vertical="center" wrapText="1"/>
    </xf>
    <xf numFmtId="49" fontId="32" fillId="17" borderId="17" xfId="4" applyNumberFormat="1" applyFont="1" applyFill="1" applyBorder="1" applyAlignment="1">
      <alignment horizontal="center" vertical="center" wrapText="1"/>
    </xf>
    <xf numFmtId="0" fontId="33" fillId="0" borderId="18" xfId="4" applyFont="1" applyBorder="1" applyAlignment="1">
      <alignment horizontal="center" vertical="center" wrapText="1"/>
    </xf>
    <xf numFmtId="0" fontId="5" fillId="0" borderId="0" xfId="4" applyAlignment="1">
      <alignment horizontal="center" vertical="center" wrapText="1"/>
    </xf>
    <xf numFmtId="15" fontId="34" fillId="0" borderId="18" xfId="4" applyNumberFormat="1" applyFont="1" applyBorder="1" applyAlignment="1">
      <alignment horizontal="left" vertical="center" wrapText="1"/>
    </xf>
    <xf numFmtId="49" fontId="34" fillId="0" borderId="18" xfId="4" applyNumberFormat="1" applyFont="1" applyBorder="1" applyAlignment="1">
      <alignment horizontal="left" vertical="center" wrapText="1"/>
    </xf>
    <xf numFmtId="49" fontId="34" fillId="0" borderId="18" xfId="4" applyNumberFormat="1" applyFont="1" applyBorder="1" applyAlignment="1">
      <alignment horizontal="center" vertical="center" wrapText="1"/>
    </xf>
    <xf numFmtId="43" fontId="34" fillId="0" borderId="17" xfId="5" applyFont="1" applyBorder="1" applyAlignment="1">
      <alignment horizontal="right" vertical="center" wrapText="1"/>
    </xf>
    <xf numFmtId="0" fontId="33" fillId="0" borderId="18" xfId="4" applyFont="1" applyBorder="1" applyAlignment="1">
      <alignment horizontal="left" vertical="center" wrapText="1"/>
    </xf>
    <xf numFmtId="0" fontId="5" fillId="0" borderId="0" xfId="4" applyAlignment="1">
      <alignment vertical="center" wrapText="1"/>
    </xf>
    <xf numFmtId="49" fontId="34" fillId="18" borderId="18" xfId="4" applyNumberFormat="1" applyFont="1" applyFill="1" applyBorder="1" applyAlignment="1">
      <alignment horizontal="left" vertical="center" wrapText="1"/>
    </xf>
    <xf numFmtId="49" fontId="34" fillId="18" borderId="18" xfId="4" applyNumberFormat="1" applyFont="1" applyFill="1" applyBorder="1" applyAlignment="1">
      <alignment horizontal="center" vertical="center" wrapText="1"/>
    </xf>
    <xf numFmtId="43" fontId="34" fillId="18" borderId="17" xfId="5" applyFont="1" applyFill="1" applyBorder="1" applyAlignment="1">
      <alignment horizontal="right" vertical="center" wrapText="1"/>
    </xf>
    <xf numFmtId="0" fontId="33" fillId="18" borderId="18" xfId="4" applyFont="1" applyFill="1" applyBorder="1" applyAlignment="1">
      <alignment vertical="center" wrapText="1"/>
    </xf>
    <xf numFmtId="15"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center" vertical="center" wrapText="1"/>
    </xf>
    <xf numFmtId="43" fontId="34" fillId="19" borderId="17" xfId="5" applyFont="1" applyFill="1" applyBorder="1" applyAlignment="1">
      <alignment horizontal="right" vertical="center" wrapText="1"/>
    </xf>
    <xf numFmtId="0" fontId="33" fillId="19" borderId="18" xfId="4" applyFont="1" applyFill="1" applyBorder="1" applyAlignment="1">
      <alignment vertical="center" wrapText="1"/>
    </xf>
    <xf numFmtId="15"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center" vertical="center" wrapText="1"/>
    </xf>
    <xf numFmtId="43" fontId="34" fillId="13" borderId="17" xfId="5" applyFont="1" applyFill="1" applyBorder="1" applyAlignment="1">
      <alignment horizontal="right" vertical="center" wrapText="1"/>
    </xf>
    <xf numFmtId="0" fontId="33" fillId="13" borderId="18" xfId="4" applyFont="1" applyFill="1" applyBorder="1" applyAlignment="1">
      <alignment horizontal="left" vertical="center" wrapText="1"/>
    </xf>
    <xf numFmtId="15"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center" vertical="center" wrapText="1"/>
    </xf>
    <xf numFmtId="43" fontId="34" fillId="20" borderId="17" xfId="5" applyFont="1" applyFill="1" applyBorder="1" applyAlignment="1">
      <alignment horizontal="right" vertical="center" wrapText="1"/>
    </xf>
    <xf numFmtId="0" fontId="33" fillId="20" borderId="18" xfId="4" applyFont="1" applyFill="1" applyBorder="1" applyAlignment="1">
      <alignment vertical="center" wrapText="1"/>
    </xf>
    <xf numFmtId="15"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center" vertical="center" wrapText="1"/>
    </xf>
    <xf numFmtId="43" fontId="34" fillId="21" borderId="17" xfId="5" applyFont="1" applyFill="1" applyBorder="1" applyAlignment="1">
      <alignment horizontal="right" vertical="center" wrapText="1"/>
    </xf>
    <xf numFmtId="0" fontId="33" fillId="21" borderId="18" xfId="4" applyFont="1" applyFill="1" applyBorder="1" applyAlignment="1">
      <alignment horizontal="left" vertical="center" wrapText="1"/>
    </xf>
    <xf numFmtId="15"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center" vertical="center" wrapText="1"/>
    </xf>
    <xf numFmtId="43" fontId="34" fillId="22" borderId="17" xfId="5" applyFont="1" applyFill="1" applyBorder="1" applyAlignment="1">
      <alignment horizontal="right" vertical="center" wrapText="1"/>
    </xf>
    <xf numFmtId="0" fontId="33" fillId="22" borderId="18" xfId="4" applyFont="1" applyFill="1" applyBorder="1" applyAlignment="1">
      <alignment horizontal="left" vertical="center" wrapText="1"/>
    </xf>
    <xf numFmtId="15"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center" vertical="center" wrapText="1"/>
    </xf>
    <xf numFmtId="43" fontId="34" fillId="23" borderId="17" xfId="5" applyFont="1" applyFill="1" applyBorder="1" applyAlignment="1">
      <alignment horizontal="right" vertical="center" wrapText="1"/>
    </xf>
    <xf numFmtId="0" fontId="33" fillId="23" borderId="18" xfId="4" applyFont="1" applyFill="1" applyBorder="1" applyAlignment="1">
      <alignment horizontal="left" vertical="center" wrapText="1"/>
    </xf>
    <xf numFmtId="0" fontId="33" fillId="0" borderId="18" xfId="4" applyFont="1" applyBorder="1" applyAlignment="1">
      <alignment vertical="center" wrapText="1"/>
    </xf>
    <xf numFmtId="15"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center" vertical="center" wrapText="1"/>
    </xf>
    <xf numFmtId="43" fontId="34" fillId="24" borderId="17" xfId="5" applyFont="1" applyFill="1" applyBorder="1" applyAlignment="1">
      <alignment horizontal="right" vertical="center" wrapText="1"/>
    </xf>
    <xf numFmtId="0" fontId="33" fillId="24" borderId="18" xfId="4" applyFont="1" applyFill="1" applyBorder="1" applyAlignment="1">
      <alignment vertical="center" wrapText="1"/>
    </xf>
    <xf numFmtId="0" fontId="33" fillId="24" borderId="18" xfId="4" applyFont="1" applyFill="1" applyBorder="1" applyAlignment="1">
      <alignment horizontal="left" vertical="center" wrapText="1"/>
    </xf>
    <xf numFmtId="0" fontId="33" fillId="0" borderId="18" xfId="4" applyFont="1" applyBorder="1"/>
    <xf numFmtId="15"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center" vertical="center" wrapText="1"/>
    </xf>
    <xf numFmtId="43" fontId="34" fillId="25" borderId="17" xfId="5" applyFont="1" applyFill="1" applyBorder="1" applyAlignment="1">
      <alignment horizontal="right" vertical="center" wrapText="1"/>
    </xf>
    <xf numFmtId="0" fontId="33" fillId="25" borderId="18" xfId="4" applyFont="1" applyFill="1" applyBorder="1" applyAlignment="1">
      <alignment vertical="center" wrapText="1"/>
    </xf>
    <xf numFmtId="49" fontId="34" fillId="26" borderId="18" xfId="4" applyNumberFormat="1" applyFont="1" applyFill="1" applyBorder="1" applyAlignment="1">
      <alignment horizontal="left" vertical="center" wrapText="1"/>
    </xf>
    <xf numFmtId="49" fontId="34" fillId="26" borderId="18" xfId="4" applyNumberFormat="1" applyFont="1" applyFill="1" applyBorder="1" applyAlignment="1">
      <alignment horizontal="center" vertical="center" wrapText="1"/>
    </xf>
    <xf numFmtId="43" fontId="34" fillId="26" borderId="17" xfId="5" applyFont="1" applyFill="1" applyBorder="1" applyAlignment="1">
      <alignment horizontal="right" vertical="center" wrapText="1"/>
    </xf>
    <xf numFmtId="0" fontId="33" fillId="26" borderId="18" xfId="4" applyFont="1" applyFill="1" applyBorder="1" applyAlignment="1">
      <alignment horizontal="left" vertical="center" wrapText="1"/>
    </xf>
    <xf numFmtId="15"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center" vertical="center" wrapText="1"/>
    </xf>
    <xf numFmtId="43" fontId="34" fillId="27" borderId="17" xfId="5" applyFont="1" applyFill="1" applyBorder="1" applyAlignment="1">
      <alignment horizontal="right" vertical="center" wrapText="1"/>
    </xf>
    <xf numFmtId="0" fontId="33" fillId="27" borderId="18" xfId="4" applyFont="1" applyFill="1" applyBorder="1" applyAlignment="1">
      <alignment horizontal="left" vertical="center" wrapText="1"/>
    </xf>
    <xf numFmtId="15" fontId="34" fillId="27" borderId="18" xfId="4" applyNumberFormat="1" applyFont="1" applyFill="1" applyBorder="1" applyAlignment="1">
      <alignment horizontal="center" vertical="center" wrapText="1"/>
    </xf>
    <xf numFmtId="49" fontId="34" fillId="28" borderId="18" xfId="4" applyNumberFormat="1" applyFont="1" applyFill="1" applyBorder="1" applyAlignment="1">
      <alignment horizontal="left" vertical="center" wrapText="1"/>
    </xf>
    <xf numFmtId="49" fontId="34" fillId="28" borderId="18" xfId="4" applyNumberFormat="1" applyFont="1" applyFill="1" applyBorder="1" applyAlignment="1">
      <alignment horizontal="center" vertical="center" wrapText="1"/>
    </xf>
    <xf numFmtId="43" fontId="34" fillId="28" borderId="17" xfId="5" applyFont="1" applyFill="1" applyBorder="1" applyAlignment="1">
      <alignment horizontal="right" vertical="center" wrapText="1"/>
    </xf>
    <xf numFmtId="0" fontId="33" fillId="28" borderId="18" xfId="4" applyFont="1" applyFill="1" applyBorder="1" applyAlignment="1">
      <alignment horizontal="left" vertical="center" wrapText="1"/>
    </xf>
    <xf numFmtId="15"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center" vertical="center" wrapText="1"/>
    </xf>
    <xf numFmtId="43" fontId="34" fillId="29" borderId="17" xfId="5" applyFont="1" applyFill="1" applyBorder="1" applyAlignment="1">
      <alignment horizontal="right" vertical="center" wrapText="1"/>
    </xf>
    <xf numFmtId="0" fontId="33" fillId="29" borderId="18" xfId="4" applyFont="1" applyFill="1" applyBorder="1" applyAlignment="1">
      <alignment horizontal="left" vertical="center" wrapText="1"/>
    </xf>
    <xf numFmtId="15"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49" fontId="35" fillId="30" borderId="18" xfId="4" applyNumberFormat="1" applyFont="1" applyFill="1" applyBorder="1" applyAlignment="1">
      <alignment horizontal="center" vertical="center" wrapText="1"/>
    </xf>
    <xf numFmtId="43" fontId="35" fillId="30" borderId="17" xfId="5" applyFont="1" applyFill="1" applyBorder="1" applyAlignment="1">
      <alignment horizontal="right" vertical="center" wrapText="1"/>
    </xf>
    <xf numFmtId="0" fontId="35" fillId="30" borderId="18" xfId="4" applyFont="1" applyFill="1" applyBorder="1" applyAlignment="1">
      <alignment horizontal="left" vertical="center" wrapText="1"/>
    </xf>
    <xf numFmtId="15"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15"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center" vertical="center" wrapText="1"/>
    </xf>
    <xf numFmtId="43" fontId="34" fillId="16" borderId="17" xfId="5" applyFont="1" applyFill="1" applyBorder="1" applyAlignment="1">
      <alignment horizontal="right" vertical="center" wrapText="1"/>
    </xf>
    <xf numFmtId="0" fontId="33" fillId="16" borderId="18" xfId="4" applyFont="1" applyFill="1" applyBorder="1" applyAlignment="1">
      <alignment vertical="center" wrapText="1"/>
    </xf>
    <xf numFmtId="0" fontId="33" fillId="16" borderId="18" xfId="4" applyFont="1" applyFill="1" applyBorder="1" applyAlignment="1">
      <alignment horizontal="left" vertical="center" wrapText="1"/>
    </xf>
    <xf numFmtId="49" fontId="35" fillId="31" borderId="18" xfId="4" applyNumberFormat="1" applyFont="1" applyFill="1" applyBorder="1" applyAlignment="1">
      <alignment horizontal="center" vertical="center" wrapText="1"/>
    </xf>
    <xf numFmtId="43" fontId="35" fillId="31" borderId="17" xfId="5" applyFont="1" applyFill="1" applyBorder="1" applyAlignment="1">
      <alignment horizontal="right" vertical="center" wrapText="1"/>
    </xf>
    <xf numFmtId="0" fontId="35" fillId="31" borderId="18" xfId="4" applyFont="1" applyFill="1" applyBorder="1" applyAlignment="1">
      <alignment horizontal="left" vertical="center" wrapText="1"/>
    </xf>
    <xf numFmtId="49" fontId="35" fillId="31" borderId="18" xfId="4" applyNumberFormat="1" applyFont="1" applyFill="1" applyBorder="1" applyAlignment="1">
      <alignment horizontal="left" vertical="center" wrapText="1"/>
    </xf>
    <xf numFmtId="15"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center" vertical="center" wrapText="1"/>
    </xf>
    <xf numFmtId="43" fontId="34" fillId="32" borderId="17" xfId="5" applyFont="1" applyFill="1" applyBorder="1" applyAlignment="1">
      <alignment horizontal="right" vertical="center" wrapText="1"/>
    </xf>
    <xf numFmtId="0" fontId="33" fillId="32" borderId="18" xfId="4" applyFont="1" applyFill="1" applyBorder="1" applyAlignment="1">
      <alignment vertical="center" wrapText="1"/>
    </xf>
    <xf numFmtId="15"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center" vertical="center" wrapText="1"/>
    </xf>
    <xf numFmtId="43" fontId="34" fillId="33" borderId="17" xfId="5" applyFont="1" applyFill="1" applyBorder="1" applyAlignment="1">
      <alignment horizontal="right" vertical="center" wrapText="1"/>
    </xf>
    <xf numFmtId="0" fontId="33" fillId="33" borderId="18" xfId="4" applyFont="1" applyFill="1" applyBorder="1" applyAlignment="1">
      <alignment vertical="center" wrapText="1"/>
    </xf>
    <xf numFmtId="15"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center" vertical="center" wrapText="1"/>
    </xf>
    <xf numFmtId="43" fontId="34" fillId="34" borderId="17" xfId="5" applyFont="1" applyFill="1" applyBorder="1" applyAlignment="1">
      <alignment horizontal="right" vertical="center" wrapText="1"/>
    </xf>
    <xf numFmtId="0" fontId="33" fillId="34" borderId="18" xfId="4" applyFont="1" applyFill="1" applyBorder="1" applyAlignment="1">
      <alignment horizontal="left" vertical="center" wrapText="1"/>
    </xf>
    <xf numFmtId="15"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center" vertical="center" wrapText="1"/>
    </xf>
    <xf numFmtId="43" fontId="34" fillId="35" borderId="17" xfId="5" applyFont="1" applyFill="1" applyBorder="1" applyAlignment="1">
      <alignment horizontal="right" vertical="center" wrapText="1"/>
    </xf>
    <xf numFmtId="0" fontId="33" fillId="35" borderId="18" xfId="4" applyFont="1" applyFill="1" applyBorder="1" applyAlignment="1">
      <alignment vertical="center" wrapText="1"/>
    </xf>
    <xf numFmtId="0" fontId="33" fillId="36" borderId="18" xfId="4" applyFont="1" applyFill="1" applyBorder="1" applyAlignment="1">
      <alignment horizontal="left"/>
    </xf>
    <xf numFmtId="49" fontId="34" fillId="36" borderId="18" xfId="4" applyNumberFormat="1" applyFont="1" applyFill="1" applyBorder="1" applyAlignment="1">
      <alignment horizontal="left" vertical="center" wrapText="1"/>
    </xf>
    <xf numFmtId="49" fontId="34" fillId="36" borderId="18" xfId="4" applyNumberFormat="1" applyFont="1" applyFill="1" applyBorder="1" applyAlignment="1">
      <alignment horizontal="center" vertical="center" wrapText="1"/>
    </xf>
    <xf numFmtId="43" fontId="34" fillId="36" borderId="17" xfId="5" applyFont="1" applyFill="1" applyBorder="1" applyAlignment="1">
      <alignment horizontal="right" vertical="center" wrapText="1"/>
    </xf>
    <xf numFmtId="0" fontId="33" fillId="36" borderId="18" xfId="4" applyFont="1" applyFill="1" applyBorder="1" applyAlignment="1">
      <alignment vertical="center" wrapText="1"/>
    </xf>
    <xf numFmtId="15"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3" fillId="37" borderId="18" xfId="4" applyFont="1" applyFill="1" applyBorder="1" applyAlignment="1">
      <alignment vertical="center" wrapText="1"/>
    </xf>
    <xf numFmtId="49" fontId="35" fillId="37" borderId="18" xfId="4" applyNumberFormat="1" applyFont="1" applyFill="1" applyBorder="1" applyAlignment="1">
      <alignment horizontal="left" vertical="center" wrapText="1"/>
    </xf>
    <xf numFmtId="49" fontId="35" fillId="37" borderId="18" xfId="4" applyNumberFormat="1" applyFont="1" applyFill="1" applyBorder="1" applyAlignment="1">
      <alignment horizontal="center" vertical="center" wrapText="1"/>
    </xf>
    <xf numFmtId="43" fontId="35" fillId="37" borderId="17" xfId="5" applyFont="1" applyFill="1" applyBorder="1" applyAlignment="1">
      <alignment horizontal="right" vertical="center" wrapText="1"/>
    </xf>
    <xf numFmtId="0" fontId="33" fillId="37" borderId="18" xfId="4" applyFont="1" applyFill="1" applyBorder="1" applyAlignment="1">
      <alignment horizontal="left" vertical="center" wrapText="1"/>
    </xf>
    <xf numFmtId="0" fontId="33" fillId="38" borderId="18" xfId="4" applyFont="1" applyFill="1" applyBorder="1" applyAlignment="1">
      <alignment wrapText="1"/>
    </xf>
    <xf numFmtId="49" fontId="34" fillId="38" borderId="18" xfId="4" applyNumberFormat="1" applyFont="1" applyFill="1" applyBorder="1" applyAlignment="1">
      <alignment horizontal="left" vertical="center" wrapText="1"/>
    </xf>
    <xf numFmtId="49" fontId="34" fillId="38" borderId="18" xfId="4" applyNumberFormat="1" applyFont="1" applyFill="1" applyBorder="1" applyAlignment="1">
      <alignment horizontal="center" vertical="center" wrapText="1"/>
    </xf>
    <xf numFmtId="43" fontId="34" fillId="38" borderId="17" xfId="5" applyFont="1" applyFill="1" applyBorder="1" applyAlignment="1">
      <alignment horizontal="right" vertical="center" wrapText="1"/>
    </xf>
    <xf numFmtId="0" fontId="33" fillId="38" borderId="18" xfId="4" applyFont="1" applyFill="1" applyBorder="1" applyAlignment="1">
      <alignment horizontal="left" vertical="center" wrapText="1"/>
    </xf>
    <xf numFmtId="0" fontId="33" fillId="39" borderId="18" xfId="4" applyFont="1" applyFill="1" applyBorder="1" applyAlignment="1">
      <alignment horizontal="left"/>
    </xf>
    <xf numFmtId="49" fontId="34" fillId="39" borderId="18" xfId="4" applyNumberFormat="1" applyFont="1" applyFill="1" applyBorder="1" applyAlignment="1">
      <alignment horizontal="left" vertical="center" wrapText="1"/>
    </xf>
    <xf numFmtId="49" fontId="34" fillId="39" borderId="18" xfId="4" applyNumberFormat="1" applyFont="1" applyFill="1" applyBorder="1" applyAlignment="1">
      <alignment horizontal="center" vertical="center" wrapText="1"/>
    </xf>
    <xf numFmtId="43" fontId="34" fillId="39" borderId="17" xfId="5" applyFont="1" applyFill="1" applyBorder="1" applyAlignment="1">
      <alignment horizontal="right" vertical="center" wrapText="1"/>
    </xf>
    <xf numFmtId="0" fontId="33" fillId="39" borderId="18" xfId="4" applyFont="1" applyFill="1" applyBorder="1" applyAlignment="1">
      <alignment vertical="center" wrapText="1"/>
    </xf>
    <xf numFmtId="15"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center" vertical="center" wrapText="1"/>
    </xf>
    <xf numFmtId="43" fontId="34" fillId="40" borderId="17" xfId="5" applyFont="1" applyFill="1" applyBorder="1" applyAlignment="1">
      <alignment horizontal="right" vertical="center" wrapText="1"/>
    </xf>
    <xf numFmtId="0" fontId="33" fillId="40" borderId="18" xfId="4" applyFont="1" applyFill="1" applyBorder="1" applyAlignment="1">
      <alignment vertical="center" wrapText="1"/>
    </xf>
    <xf numFmtId="49" fontId="34" fillId="40" borderId="17" xfId="4" applyNumberFormat="1" applyFont="1" applyFill="1" applyBorder="1" applyAlignment="1">
      <alignment horizontal="right" vertical="center" wrapText="1"/>
    </xf>
    <xf numFmtId="43" fontId="34" fillId="40" borderId="18" xfId="5" applyFont="1" applyFill="1" applyBorder="1" applyAlignment="1">
      <alignment horizontal="left" vertical="center" wrapText="1"/>
    </xf>
    <xf numFmtId="0" fontId="33" fillId="40" borderId="17" xfId="4" applyFont="1" applyFill="1" applyBorder="1" applyAlignment="1">
      <alignment vertical="center" wrapText="1"/>
    </xf>
    <xf numFmtId="15"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center" vertical="center" wrapText="1"/>
    </xf>
    <xf numFmtId="43" fontId="34" fillId="6" borderId="17" xfId="5" applyFont="1" applyFill="1" applyBorder="1" applyAlignment="1">
      <alignment horizontal="right" vertical="center" wrapText="1"/>
    </xf>
    <xf numFmtId="0" fontId="33" fillId="6" borderId="18" xfId="4" applyFont="1" applyFill="1" applyBorder="1" applyAlignment="1">
      <alignment vertical="center" wrapText="1"/>
    </xf>
    <xf numFmtId="49" fontId="34" fillId="6" borderId="23" xfId="4" applyNumberFormat="1" applyFont="1" applyFill="1" applyBorder="1" applyAlignment="1">
      <alignment horizontal="left" vertical="center" wrapText="1"/>
    </xf>
    <xf numFmtId="49" fontId="34" fillId="6" borderId="23" xfId="4" applyNumberFormat="1" applyFont="1" applyFill="1" applyBorder="1" applyAlignment="1">
      <alignment horizontal="center" vertical="center" wrapText="1"/>
    </xf>
    <xf numFmtId="43" fontId="34" fillId="6" borderId="24" xfId="5" applyFont="1" applyFill="1" applyBorder="1" applyAlignment="1">
      <alignment horizontal="right" vertical="center" wrapText="1"/>
    </xf>
    <xf numFmtId="0" fontId="28" fillId="0" borderId="0" xfId="6" applyFont="1"/>
    <xf numFmtId="0" fontId="4" fillId="0" borderId="0" xfId="6"/>
    <xf numFmtId="0" fontId="33" fillId="0" borderId="0" xfId="4" applyFont="1" applyAlignment="1">
      <alignment vertical="center" wrapText="1"/>
    </xf>
    <xf numFmtId="0" fontId="4" fillId="0" borderId="0" xfId="6" applyAlignment="1">
      <alignment horizontal="left"/>
    </xf>
    <xf numFmtId="0" fontId="33" fillId="0" borderId="0" xfId="4" applyFont="1" applyAlignment="1">
      <alignment horizontal="center" vertical="center" wrapText="1"/>
    </xf>
    <xf numFmtId="0" fontId="33" fillId="0" borderId="0" xfId="4" applyFont="1" applyAlignment="1">
      <alignment horizontal="left" vertical="center" wrapText="1"/>
    </xf>
    <xf numFmtId="0" fontId="36" fillId="9" borderId="0" xfId="6" applyFont="1" applyFill="1"/>
    <xf numFmtId="0" fontId="29" fillId="9" borderId="0" xfId="6" applyFont="1" applyFill="1"/>
    <xf numFmtId="1" fontId="11" fillId="3" borderId="7" xfId="0" applyNumberFormat="1" applyFont="1" applyFill="1" applyBorder="1" applyAlignment="1">
      <alignment horizontal="center"/>
    </xf>
    <xf numFmtId="0" fontId="29" fillId="9" borderId="0" xfId="0" applyFont="1" applyFill="1"/>
    <xf numFmtId="0" fontId="36" fillId="9" borderId="0" xfId="0" applyFont="1" applyFill="1"/>
    <xf numFmtId="0" fontId="10" fillId="9" borderId="0" xfId="0" applyFont="1" applyFill="1" applyAlignment="1">
      <alignment horizontal="justify" vertical="top" wrapText="1"/>
    </xf>
    <xf numFmtId="0" fontId="30" fillId="9" borderId="0" xfId="0" applyFont="1" applyFill="1" applyAlignment="1">
      <alignment vertical="top" wrapText="1"/>
    </xf>
    <xf numFmtId="4" fontId="30" fillId="9" borderId="0" xfId="0" applyNumberFormat="1" applyFont="1" applyFill="1" applyAlignment="1">
      <alignment vertical="top" wrapText="1"/>
    </xf>
    <xf numFmtId="0" fontId="39" fillId="9" borderId="0" xfId="0" applyFont="1" applyFill="1"/>
    <xf numFmtId="0" fontId="39" fillId="9" borderId="0" xfId="0" applyFont="1" applyFill="1" applyAlignment="1">
      <alignment horizontal="center" vertical="center"/>
    </xf>
    <xf numFmtId="0" fontId="39" fillId="9" borderId="0" xfId="0" applyFont="1" applyFill="1" applyAlignment="1">
      <alignment horizontal="left" vertical="center"/>
    </xf>
    <xf numFmtId="0" fontId="37" fillId="9" borderId="0" xfId="0" applyFont="1" applyFill="1" applyAlignment="1">
      <alignment horizontal="left" vertical="center"/>
    </xf>
    <xf numFmtId="0" fontId="39" fillId="9" borderId="0" xfId="0" applyFont="1" applyFill="1" applyAlignment="1">
      <alignment horizontal="lef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3" fontId="11" fillId="0" borderId="18" xfId="0" applyNumberFormat="1" applyFont="1" applyBorder="1" applyAlignment="1" applyProtection="1">
      <alignment horizontal="right" vertical="top"/>
      <protection locked="0"/>
    </xf>
    <xf numFmtId="0" fontId="11" fillId="0" borderId="18" xfId="0" applyFont="1" applyBorder="1" applyAlignment="1" applyProtection="1">
      <alignment vertical="top"/>
      <protection locked="0"/>
    </xf>
    <xf numFmtId="4" fontId="11" fillId="0" borderId="18" xfId="0" applyNumberFormat="1" applyFont="1" applyBorder="1" applyAlignment="1">
      <alignment vertical="top"/>
    </xf>
    <xf numFmtId="4" fontId="11" fillId="0" borderId="18" xfId="0" applyNumberFormat="1" applyFont="1" applyBorder="1" applyAlignment="1">
      <alignment horizontal="right" vertical="top"/>
    </xf>
    <xf numFmtId="4" fontId="11" fillId="0" borderId="18" xfId="0" applyNumberFormat="1" applyFont="1" applyBorder="1" applyAlignment="1" applyProtection="1">
      <alignment horizontal="center" vertical="top"/>
      <protection locked="0"/>
    </xf>
    <xf numFmtId="4" fontId="39" fillId="9" borderId="0" xfId="0" applyNumberFormat="1" applyFont="1" applyFill="1"/>
    <xf numFmtId="0" fontId="39" fillId="0" borderId="0" xfId="0" applyFont="1"/>
    <xf numFmtId="4" fontId="39" fillId="0" borderId="0" xfId="0" applyNumberFormat="1" applyFont="1"/>
    <xf numFmtId="0" fontId="40" fillId="9" borderId="0" xfId="6" applyFont="1" applyFill="1"/>
    <xf numFmtId="0" fontId="40" fillId="9" borderId="0" xfId="0" applyFont="1" applyFill="1"/>
    <xf numFmtId="0" fontId="10" fillId="11" borderId="18" xfId="0" applyFont="1" applyFill="1" applyBorder="1" applyAlignment="1">
      <alignment horizontal="center" vertical="center" wrapText="1"/>
    </xf>
    <xf numFmtId="0" fontId="10" fillId="11" borderId="18" xfId="0" applyFont="1" applyFill="1" applyBorder="1" applyAlignment="1">
      <alignment vertical="center" wrapText="1"/>
    </xf>
    <xf numFmtId="4" fontId="10" fillId="11" borderId="18" xfId="0" applyNumberFormat="1" applyFont="1" applyFill="1" applyBorder="1" applyAlignment="1">
      <alignment vertical="center" wrapText="1"/>
    </xf>
    <xf numFmtId="0" fontId="10" fillId="4" borderId="0" xfId="0" applyFont="1" applyFill="1" applyAlignment="1">
      <alignment horizontal="justify" vertical="top" wrapText="1"/>
    </xf>
    <xf numFmtId="0" fontId="38" fillId="9" borderId="0" xfId="0" applyFont="1" applyFill="1"/>
    <xf numFmtId="0" fontId="11" fillId="9" borderId="0" xfId="0" applyFont="1" applyFill="1"/>
    <xf numFmtId="0" fontId="10" fillId="11" borderId="5" xfId="3" applyFont="1" applyFill="1" applyBorder="1" applyAlignment="1">
      <alignment horizontal="center" textRotation="90" wrapText="1"/>
    </xf>
    <xf numFmtId="0" fontId="10" fillId="11" borderId="5" xfId="3" applyFont="1" applyFill="1" applyBorder="1" applyAlignment="1">
      <alignment horizontal="center" vertical="center" wrapText="1"/>
    </xf>
    <xf numFmtId="0" fontId="12" fillId="6" borderId="6" xfId="3" applyFont="1" applyFill="1" applyBorder="1" applyAlignment="1">
      <alignment horizontal="left" vertical="top" wrapText="1"/>
    </xf>
    <xf numFmtId="0" fontId="12" fillId="6" borderId="6" xfId="3" applyFont="1" applyFill="1" applyBorder="1" applyAlignment="1">
      <alignment horizontal="center" vertical="top" wrapText="1"/>
    </xf>
    <xf numFmtId="0" fontId="12" fillId="6" borderId="6"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3" fillId="2" borderId="7" xfId="3" applyFont="1" applyFill="1" applyBorder="1" applyAlignment="1">
      <alignment horizontal="left" vertical="top" wrapText="1"/>
    </xf>
    <xf numFmtId="0" fontId="13" fillId="2" borderId="7" xfId="3" applyFont="1" applyFill="1" applyBorder="1" applyAlignment="1">
      <alignment horizontal="center" vertical="top" wrapText="1"/>
    </xf>
    <xf numFmtId="0" fontId="13" fillId="9" borderId="7" xfId="3" applyFont="1" applyFill="1" applyBorder="1" applyAlignment="1">
      <alignment vertical="top" wrapText="1"/>
    </xf>
    <xf numFmtId="0" fontId="12" fillId="6" borderId="7" xfId="3" applyFont="1" applyFill="1" applyBorder="1" applyAlignment="1">
      <alignment horizontal="left" vertical="top" wrapText="1"/>
    </xf>
    <xf numFmtId="0" fontId="12" fillId="6" borderId="7" xfId="3" applyFont="1" applyFill="1" applyBorder="1" applyAlignment="1">
      <alignment horizontal="center" vertical="top" wrapText="1"/>
    </xf>
    <xf numFmtId="0" fontId="12" fillId="6" borderId="7" xfId="3" applyFont="1" applyFill="1" applyBorder="1" applyAlignment="1">
      <alignment vertical="top" wrapText="1"/>
    </xf>
    <xf numFmtId="0" fontId="12" fillId="2" borderId="7" xfId="3" applyFont="1" applyFill="1" applyBorder="1" applyAlignment="1">
      <alignment vertical="top" wrapText="1"/>
    </xf>
    <xf numFmtId="0" fontId="13" fillId="9" borderId="7" xfId="3" applyFont="1" applyFill="1" applyBorder="1" applyAlignment="1">
      <alignment wrapText="1"/>
    </xf>
    <xf numFmtId="0" fontId="13" fillId="2" borderId="11" xfId="3" applyFont="1" applyFill="1" applyBorder="1" applyAlignment="1">
      <alignment horizontal="center" vertical="top" wrapText="1"/>
    </xf>
    <xf numFmtId="0" fontId="13" fillId="2" borderId="7" xfId="3" applyFont="1" applyFill="1" applyBorder="1" applyAlignment="1">
      <alignment vertical="top" wrapText="1"/>
    </xf>
    <xf numFmtId="0" fontId="11" fillId="11" borderId="5" xfId="3" applyFont="1" applyFill="1" applyBorder="1" applyAlignment="1">
      <alignment vertical="top" wrapText="1"/>
    </xf>
    <xf numFmtId="0" fontId="10" fillId="11" borderId="5" xfId="3" applyFont="1" applyFill="1" applyBorder="1" applyAlignment="1">
      <alignment vertical="top" wrapText="1"/>
    </xf>
    <xf numFmtId="0" fontId="10" fillId="11" borderId="5" xfId="3" applyFont="1" applyFill="1" applyBorder="1" applyAlignment="1">
      <alignment horizontal="center" vertical="center"/>
    </xf>
    <xf numFmtId="4" fontId="12" fillId="6" borderId="6" xfId="3" applyNumberFormat="1" applyFont="1" applyFill="1" applyBorder="1" applyAlignment="1">
      <alignment vertical="top" wrapText="1"/>
    </xf>
    <xf numFmtId="4" fontId="12" fillId="6" borderId="6" xfId="3" applyNumberFormat="1" applyFont="1" applyFill="1" applyBorder="1" applyAlignment="1">
      <alignment horizontal="right" vertical="top" wrapText="1"/>
    </xf>
    <xf numFmtId="4" fontId="12" fillId="2" borderId="7" xfId="3" applyNumberFormat="1" applyFont="1" applyFill="1" applyBorder="1" applyAlignment="1">
      <alignment vertical="top" wrapText="1"/>
    </xf>
    <xf numFmtId="4" fontId="12" fillId="3" borderId="7" xfId="3" applyNumberFormat="1" applyFont="1" applyFill="1" applyBorder="1" applyAlignment="1">
      <alignment horizontal="right" vertical="top" wrapText="1"/>
    </xf>
    <xf numFmtId="4" fontId="13" fillId="2" borderId="7" xfId="3" applyNumberFormat="1" applyFont="1" applyFill="1" applyBorder="1" applyAlignment="1" applyProtection="1">
      <alignment vertical="top" wrapText="1"/>
      <protection locked="0"/>
    </xf>
    <xf numFmtId="4" fontId="13" fillId="3" borderId="7" xfId="3" applyNumberFormat="1" applyFont="1" applyFill="1" applyBorder="1" applyAlignment="1">
      <alignment horizontal="right" vertical="top" wrapText="1"/>
    </xf>
    <xf numFmtId="4" fontId="12" fillId="6" borderId="7" xfId="3" applyNumberFormat="1" applyFont="1" applyFill="1" applyBorder="1" applyAlignment="1">
      <alignment vertical="top" wrapText="1"/>
    </xf>
    <xf numFmtId="4" fontId="12" fillId="3" borderId="7" xfId="3" applyNumberFormat="1" applyFont="1" applyFill="1" applyBorder="1" applyAlignment="1">
      <alignment vertical="top" wrapText="1"/>
    </xf>
    <xf numFmtId="4" fontId="12" fillId="2" borderId="12" xfId="3" applyNumberFormat="1" applyFont="1" applyFill="1" applyBorder="1" applyAlignment="1">
      <alignment vertical="top" wrapText="1"/>
    </xf>
    <xf numFmtId="4" fontId="10" fillId="11" borderId="5" xfId="3" applyNumberFormat="1" applyFont="1" applyFill="1" applyBorder="1" applyAlignment="1">
      <alignment vertical="top" wrapText="1"/>
    </xf>
    <xf numFmtId="0" fontId="21" fillId="13" borderId="6" xfId="3" applyFont="1" applyFill="1" applyBorder="1" applyAlignment="1">
      <alignment vertical="top"/>
    </xf>
    <xf numFmtId="0" fontId="18" fillId="13" borderId="6" xfId="3" applyFont="1" applyFill="1" applyBorder="1" applyAlignment="1">
      <alignment horizontal="center" vertical="top"/>
    </xf>
    <xf numFmtId="0" fontId="18" fillId="13" borderId="6" xfId="3" applyFont="1" applyFill="1" applyBorder="1" applyAlignment="1">
      <alignment vertical="top"/>
    </xf>
    <xf numFmtId="0" fontId="21" fillId="15" borderId="7" xfId="3" applyFont="1" applyFill="1" applyBorder="1"/>
    <xf numFmtId="0" fontId="18" fillId="15" borderId="7" xfId="3" applyFont="1" applyFill="1" applyBorder="1" applyAlignment="1">
      <alignment horizontal="center"/>
    </xf>
    <xf numFmtId="0" fontId="18" fillId="15" borderId="7" xfId="3" applyFont="1" applyFill="1" applyBorder="1" applyAlignment="1">
      <alignment horizontal="center" vertical="top"/>
    </xf>
    <xf numFmtId="0" fontId="18" fillId="15" borderId="7" xfId="4" applyFont="1" applyFill="1" applyBorder="1"/>
    <xf numFmtId="0" fontId="21" fillId="14" borderId="7" xfId="3" applyFont="1" applyFill="1" applyBorder="1" applyAlignment="1">
      <alignment vertical="top"/>
    </xf>
    <xf numFmtId="0" fontId="18" fillId="14" borderId="7" xfId="3" applyFont="1" applyFill="1" applyBorder="1" applyAlignment="1">
      <alignment horizontal="center" vertical="top"/>
    </xf>
    <xf numFmtId="0" fontId="18" fillId="14" borderId="7" xfId="4" applyFont="1" applyFill="1" applyBorder="1" applyAlignment="1">
      <alignment vertical="top"/>
    </xf>
    <xf numFmtId="0" fontId="21"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4" applyFont="1" applyFill="1" applyBorder="1" applyAlignment="1">
      <alignment vertical="top"/>
    </xf>
    <xf numFmtId="0" fontId="20" fillId="9" borderId="7" xfId="3" applyFont="1" applyFill="1" applyBorder="1" applyAlignment="1">
      <alignment vertical="top"/>
    </xf>
    <xf numFmtId="0" fontId="19" fillId="9" borderId="7" xfId="3" applyFont="1" applyFill="1" applyBorder="1" applyAlignment="1">
      <alignment horizontal="center" vertical="top"/>
    </xf>
    <xf numFmtId="0" fontId="19" fillId="9" borderId="7" xfId="3" applyFont="1" applyFill="1" applyBorder="1" applyAlignment="1">
      <alignment vertical="top"/>
    </xf>
    <xf numFmtId="0" fontId="19" fillId="9" borderId="7" xfId="4" applyFont="1" applyFill="1" applyBorder="1" applyAlignment="1">
      <alignment vertical="top"/>
    </xf>
    <xf numFmtId="0" fontId="19" fillId="9" borderId="7" xfId="4" applyFont="1" applyFill="1" applyBorder="1" applyAlignment="1" applyProtection="1">
      <alignment vertical="top"/>
      <protection locked="0"/>
    </xf>
    <xf numFmtId="0" fontId="19" fillId="9" borderId="7" xfId="4" applyFont="1" applyFill="1" applyBorder="1" applyAlignment="1">
      <alignment vertical="top" wrapText="1"/>
    </xf>
    <xf numFmtId="0" fontId="18" fillId="9" borderId="7" xfId="3" applyFont="1" applyFill="1" applyBorder="1" applyAlignment="1">
      <alignment vertical="top"/>
    </xf>
    <xf numFmtId="0" fontId="20" fillId="9" borderId="7" xfId="3" applyFont="1" applyFill="1" applyBorder="1"/>
    <xf numFmtId="0" fontId="19" fillId="9" borderId="7" xfId="4" applyFont="1" applyFill="1" applyBorder="1"/>
    <xf numFmtId="0" fontId="21" fillId="9" borderId="7" xfId="3" applyFont="1" applyFill="1" applyBorder="1"/>
    <xf numFmtId="0" fontId="18" fillId="9" borderId="7" xfId="4" applyFont="1" applyFill="1" applyBorder="1"/>
    <xf numFmtId="0" fontId="19" fillId="9" borderId="7" xfId="4" applyFont="1" applyFill="1" applyBorder="1" applyAlignment="1">
      <alignment wrapText="1"/>
    </xf>
    <xf numFmtId="0" fontId="19" fillId="9" borderId="7" xfId="3" applyFont="1" applyFill="1" applyBorder="1" applyAlignment="1">
      <alignment vertical="top" wrapText="1"/>
    </xf>
    <xf numFmtId="0" fontId="19" fillId="9" borderId="7" xfId="3" applyFont="1" applyFill="1" applyBorder="1" applyAlignment="1">
      <alignment horizontal="center" vertical="top" wrapText="1"/>
    </xf>
    <xf numFmtId="0" fontId="18" fillId="9" borderId="7" xfId="4" applyFont="1" applyFill="1" applyBorder="1" applyAlignment="1">
      <alignment vertical="top" wrapText="1"/>
    </xf>
    <xf numFmtId="0" fontId="20" fillId="9" borderId="15" xfId="3" applyFont="1" applyFill="1" applyBorder="1" applyAlignment="1">
      <alignment vertical="top"/>
    </xf>
    <xf numFmtId="0" fontId="19" fillId="9" borderId="15" xfId="3" applyFont="1" applyFill="1" applyBorder="1" applyAlignment="1">
      <alignment horizontal="center" vertical="top"/>
    </xf>
    <xf numFmtId="0" fontId="19" fillId="9" borderId="15" xfId="4" applyFont="1" applyFill="1" applyBorder="1" applyAlignment="1">
      <alignment vertical="top" wrapText="1"/>
    </xf>
    <xf numFmtId="164" fontId="19" fillId="9" borderId="7" xfId="1" applyNumberFormat="1" applyFont="1" applyFill="1" applyBorder="1" applyAlignment="1" applyProtection="1">
      <alignment vertical="top"/>
    </xf>
    <xf numFmtId="164" fontId="19" fillId="9" borderId="7" xfId="1" applyNumberFormat="1" applyFont="1" applyFill="1" applyBorder="1" applyAlignment="1" applyProtection="1">
      <alignment vertical="top"/>
      <protection hidden="1"/>
    </xf>
    <xf numFmtId="164" fontId="19" fillId="3" borderId="7" xfId="1" applyNumberFormat="1" applyFont="1" applyFill="1" applyBorder="1" applyAlignment="1" applyProtection="1">
      <alignment horizontal="right" vertical="top"/>
      <protection hidden="1"/>
    </xf>
    <xf numFmtId="164" fontId="19" fillId="3" borderId="7" xfId="1" applyNumberFormat="1" applyFont="1" applyFill="1" applyBorder="1" applyAlignment="1" applyProtection="1">
      <alignment horizontal="right" vertical="top"/>
    </xf>
    <xf numFmtId="0" fontId="21" fillId="13" borderId="6" xfId="3" applyFont="1" applyFill="1" applyBorder="1" applyAlignment="1">
      <alignment vertical="center"/>
    </xf>
    <xf numFmtId="0" fontId="18" fillId="13" borderId="6" xfId="3" applyFont="1" applyFill="1" applyBorder="1" applyAlignment="1">
      <alignment horizontal="center" vertical="center"/>
    </xf>
    <xf numFmtId="0" fontId="18" fillId="13" borderId="6" xfId="3" applyFont="1" applyFill="1" applyBorder="1" applyAlignment="1">
      <alignment vertical="center" wrapText="1"/>
    </xf>
    <xf numFmtId="164" fontId="18" fillId="13" borderId="6" xfId="1" applyNumberFormat="1" applyFont="1" applyFill="1" applyBorder="1" applyAlignment="1" applyProtection="1">
      <alignment vertical="center"/>
      <protection hidden="1"/>
    </xf>
    <xf numFmtId="0" fontId="21" fillId="15" borderId="7" xfId="3" applyFont="1" applyFill="1" applyBorder="1" applyAlignment="1">
      <alignment vertical="center"/>
    </xf>
    <xf numFmtId="0" fontId="18" fillId="15" borderId="7" xfId="3" applyFont="1" applyFill="1" applyBorder="1" applyAlignment="1">
      <alignment horizontal="center" vertical="center"/>
    </xf>
    <xf numFmtId="0" fontId="18" fillId="15" borderId="7" xfId="4" applyFont="1" applyFill="1" applyBorder="1" applyAlignment="1">
      <alignment vertical="center" wrapText="1"/>
    </xf>
    <xf numFmtId="164" fontId="18" fillId="15" borderId="7" xfId="1" applyNumberFormat="1" applyFont="1" applyFill="1" applyBorder="1" applyAlignment="1" applyProtection="1">
      <alignment vertical="center"/>
      <protection hidden="1"/>
    </xf>
    <xf numFmtId="0" fontId="21" fillId="14" borderId="7" xfId="3" applyFont="1" applyFill="1" applyBorder="1" applyAlignment="1">
      <alignment vertical="center"/>
    </xf>
    <xf numFmtId="0" fontId="18" fillId="14" borderId="7" xfId="3" applyFont="1" applyFill="1" applyBorder="1" applyAlignment="1">
      <alignment horizontal="center" vertical="center"/>
    </xf>
    <xf numFmtId="0" fontId="18" fillId="14" borderId="7" xfId="4" applyFont="1" applyFill="1" applyBorder="1" applyAlignment="1">
      <alignment vertical="center" wrapText="1"/>
    </xf>
    <xf numFmtId="164" fontId="18" fillId="14" borderId="7" xfId="1" applyNumberFormat="1" applyFont="1" applyFill="1" applyBorder="1" applyAlignment="1" applyProtection="1">
      <alignment vertical="center"/>
      <protection hidden="1"/>
    </xf>
    <xf numFmtId="0" fontId="21"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4" applyFont="1" applyFill="1" applyBorder="1" applyAlignment="1">
      <alignment vertical="center" wrapText="1"/>
    </xf>
    <xf numFmtId="164" fontId="18" fillId="9"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9" fillId="9" borderId="7" xfId="3" applyFont="1" applyFill="1" applyBorder="1" applyAlignment="1">
      <alignment horizontal="center" vertical="center"/>
    </xf>
    <xf numFmtId="0" fontId="19" fillId="9" borderId="7" xfId="3" applyFont="1" applyFill="1" applyBorder="1" applyAlignment="1">
      <alignment vertical="center" wrapText="1"/>
    </xf>
    <xf numFmtId="164" fontId="19" fillId="9" borderId="7" xfId="1" applyNumberFormat="1" applyFont="1" applyFill="1" applyBorder="1" applyAlignment="1" applyProtection="1">
      <alignment vertical="center"/>
      <protection locked="0"/>
    </xf>
    <xf numFmtId="0" fontId="19" fillId="9" borderId="7" xfId="4" applyFont="1" applyFill="1" applyBorder="1" applyAlignment="1">
      <alignment vertical="center" wrapText="1"/>
    </xf>
    <xf numFmtId="0" fontId="20" fillId="0" borderId="7" xfId="3" applyFont="1" applyBorder="1" applyAlignment="1">
      <alignment vertical="center"/>
    </xf>
    <xf numFmtId="0" fontId="19" fillId="0" borderId="7" xfId="3" applyFont="1" applyBorder="1" applyAlignment="1">
      <alignment horizontal="center" vertical="center"/>
    </xf>
    <xf numFmtId="0" fontId="19" fillId="0" borderId="7" xfId="4" applyFont="1" applyBorder="1" applyAlignment="1">
      <alignment vertical="center" wrapText="1"/>
    </xf>
    <xf numFmtId="0" fontId="19" fillId="9" borderId="7" xfId="4" applyFont="1" applyFill="1" applyBorder="1" applyAlignment="1" applyProtection="1">
      <alignment vertical="center" wrapText="1"/>
      <protection locked="0"/>
    </xf>
    <xf numFmtId="0" fontId="18" fillId="9" borderId="7" xfId="3" applyFont="1" applyFill="1" applyBorder="1" applyAlignment="1">
      <alignment vertical="center" wrapText="1"/>
    </xf>
    <xf numFmtId="164" fontId="18" fillId="9" borderId="7" xfId="1" applyNumberFormat="1" applyFont="1" applyFill="1" applyBorder="1" applyAlignment="1" applyProtection="1">
      <alignment vertical="center"/>
      <protection locked="0"/>
    </xf>
    <xf numFmtId="164" fontId="18" fillId="9" borderId="7" xfId="1" applyNumberFormat="1" applyFont="1" applyFill="1" applyBorder="1" applyAlignment="1" applyProtection="1">
      <alignment vertical="center"/>
    </xf>
    <xf numFmtId="164" fontId="19" fillId="9" borderId="7" xfId="1" applyNumberFormat="1" applyFont="1" applyFill="1" applyBorder="1" applyAlignment="1" applyProtection="1">
      <alignment vertical="center"/>
      <protection hidden="1"/>
    </xf>
    <xf numFmtId="0" fontId="19" fillId="9" borderId="7" xfId="3" applyFont="1" applyFill="1" applyBorder="1" applyAlignment="1">
      <alignment horizontal="center" vertical="center" wrapText="1"/>
    </xf>
    <xf numFmtId="0" fontId="18" fillId="9" borderId="7" xfId="3" applyFont="1" applyFill="1" applyBorder="1" applyAlignment="1">
      <alignment vertical="center"/>
    </xf>
    <xf numFmtId="0" fontId="19" fillId="9" borderId="7" xfId="3" applyFont="1" applyFill="1" applyBorder="1" applyAlignment="1">
      <alignment vertical="center"/>
    </xf>
    <xf numFmtId="164" fontId="18" fillId="14" borderId="7" xfId="1" applyNumberFormat="1" applyFont="1" applyFill="1" applyBorder="1" applyAlignment="1" applyProtection="1">
      <alignment horizontal="right" vertical="center"/>
      <protection hidden="1"/>
    </xf>
    <xf numFmtId="164" fontId="19" fillId="9" borderId="7" xfId="1" applyNumberFormat="1" applyFont="1" applyFill="1" applyBorder="1" applyAlignment="1" applyProtection="1">
      <alignment vertical="center"/>
    </xf>
    <xf numFmtId="164" fontId="18" fillId="15" borderId="7" xfId="1" applyNumberFormat="1" applyFont="1" applyFill="1" applyBorder="1" applyAlignment="1" applyProtection="1">
      <alignment horizontal="right" vertical="center"/>
      <protection hidden="1"/>
    </xf>
    <xf numFmtId="164" fontId="19" fillId="9" borderId="15" xfId="1" applyNumberFormat="1" applyFont="1" applyFill="1" applyBorder="1" applyAlignment="1" applyProtection="1">
      <alignment vertical="center"/>
      <protection hidden="1"/>
    </xf>
    <xf numFmtId="164" fontId="19" fillId="3" borderId="15" xfId="1" applyNumberFormat="1" applyFont="1" applyFill="1" applyBorder="1" applyAlignment="1" applyProtection="1">
      <alignment horizontal="right" vertical="center"/>
      <protection hidden="1"/>
    </xf>
    <xf numFmtId="164" fontId="18" fillId="14" borderId="7" xfId="1" applyNumberFormat="1" applyFont="1" applyFill="1" applyBorder="1" applyAlignment="1" applyProtection="1">
      <alignment vertical="top"/>
    </xf>
    <xf numFmtId="43" fontId="20" fillId="9" borderId="15" xfId="7" applyFont="1" applyFill="1" applyBorder="1" applyProtection="1">
      <protection locked="0"/>
    </xf>
    <xf numFmtId="0" fontId="43" fillId="9" borderId="0" xfId="0" applyFont="1" applyFill="1"/>
    <xf numFmtId="0" fontId="11" fillId="9" borderId="20" xfId="0" applyFont="1" applyFill="1" applyBorder="1" applyAlignment="1">
      <alignment horizontal="center"/>
    </xf>
    <xf numFmtId="0" fontId="10" fillId="9" borderId="20" xfId="0" applyFont="1" applyFill="1" applyBorder="1" applyAlignment="1">
      <alignment horizontal="center"/>
    </xf>
    <xf numFmtId="0" fontId="28" fillId="0" borderId="18" xfId="0" applyFont="1" applyBorder="1" applyAlignment="1">
      <alignment vertical="center" wrapText="1"/>
    </xf>
    <xf numFmtId="0" fontId="31" fillId="9" borderId="0" xfId="6" applyFont="1" applyFill="1"/>
    <xf numFmtId="0" fontId="31" fillId="9" borderId="0" xfId="6" applyFont="1" applyFill="1" applyAlignment="1">
      <alignment vertical="center" wrapText="1"/>
    </xf>
    <xf numFmtId="0" fontId="46" fillId="9" borderId="0" xfId="6" applyFont="1" applyFill="1"/>
    <xf numFmtId="0" fontId="45" fillId="9" borderId="0" xfId="6" applyFont="1" applyFill="1" applyAlignment="1">
      <alignment vertical="center" wrapText="1"/>
    </xf>
    <xf numFmtId="0" fontId="46" fillId="9" borderId="0" xfId="0" applyFont="1" applyFill="1"/>
    <xf numFmtId="0" fontId="31" fillId="9" borderId="0" xfId="0" applyFont="1" applyFill="1"/>
    <xf numFmtId="0" fontId="31" fillId="9" borderId="0" xfId="0" applyFont="1" applyFill="1" applyAlignment="1">
      <alignment vertical="center" wrapText="1"/>
    </xf>
    <xf numFmtId="0" fontId="28" fillId="0" borderId="18" xfId="0" applyFont="1" applyBorder="1" applyAlignment="1">
      <alignment horizontal="center" vertical="center"/>
    </xf>
    <xf numFmtId="0" fontId="31" fillId="9" borderId="0" xfId="6" applyFont="1" applyFill="1" applyAlignment="1">
      <alignment horizontal="center" vertical="center"/>
    </xf>
    <xf numFmtId="0" fontId="31" fillId="9" borderId="0" xfId="0" applyFont="1" applyFill="1" applyAlignment="1">
      <alignment horizontal="center" vertical="center"/>
    </xf>
    <xf numFmtId="3" fontId="11" fillId="0" borderId="0" xfId="0" applyNumberFormat="1" applyFont="1" applyAlignment="1" applyProtection="1">
      <alignment horizontal="right" vertical="top"/>
      <protection locked="0"/>
    </xf>
    <xf numFmtId="0" fontId="11" fillId="0" borderId="0" xfId="0" applyFont="1" applyAlignment="1" applyProtection="1">
      <alignment vertical="top"/>
      <protection locked="0"/>
    </xf>
    <xf numFmtId="4" fontId="11" fillId="0" borderId="0" xfId="0" applyNumberFormat="1" applyFont="1" applyAlignment="1">
      <alignment vertical="top"/>
    </xf>
    <xf numFmtId="4" fontId="11" fillId="0" borderId="0" xfId="0" applyNumberFormat="1" applyFont="1" applyAlignment="1">
      <alignment horizontal="right" vertical="top"/>
    </xf>
    <xf numFmtId="4" fontId="11" fillId="0" borderId="0" xfId="0" applyNumberFormat="1" applyFont="1" applyAlignment="1" applyProtection="1">
      <alignment horizontal="center" vertical="top"/>
      <protection locked="0"/>
    </xf>
    <xf numFmtId="0" fontId="11" fillId="0" borderId="18" xfId="0" applyFont="1" applyBorder="1" applyAlignment="1">
      <alignment vertical="top"/>
    </xf>
    <xf numFmtId="0" fontId="5" fillId="9" borderId="0" xfId="0" applyFont="1" applyFill="1"/>
    <xf numFmtId="0" fontId="5" fillId="0" borderId="0" xfId="0" applyFont="1"/>
    <xf numFmtId="164" fontId="47" fillId="9" borderId="7" xfId="1" applyNumberFormat="1" applyFont="1" applyFill="1" applyBorder="1" applyAlignment="1" applyProtection="1">
      <alignment vertical="top"/>
      <protection locked="0"/>
    </xf>
    <xf numFmtId="0" fontId="46" fillId="9" borderId="18" xfId="0" applyFont="1" applyFill="1" applyBorder="1"/>
    <xf numFmtId="0" fontId="31" fillId="43" borderId="18" xfId="0" applyFont="1" applyFill="1" applyBorder="1" applyAlignment="1">
      <alignment wrapText="1"/>
    </xf>
    <xf numFmtId="0" fontId="29" fillId="9" borderId="0" xfId="0" applyFont="1" applyFill="1" applyAlignment="1">
      <alignment vertical="center"/>
    </xf>
    <xf numFmtId="0" fontId="29" fillId="9" borderId="0" xfId="6" applyFont="1" applyFill="1" applyAlignment="1">
      <alignment vertical="center"/>
    </xf>
    <xf numFmtId="0" fontId="29" fillId="9" borderId="0" xfId="0" applyFont="1" applyFill="1" applyAlignment="1">
      <alignment vertical="top"/>
    </xf>
    <xf numFmtId="0" fontId="29" fillId="9" borderId="0" xfId="6" applyFont="1" applyFill="1" applyAlignment="1">
      <alignment vertical="top"/>
    </xf>
    <xf numFmtId="0" fontId="31" fillId="9" borderId="0" xfId="0" applyFont="1" applyFill="1" applyAlignment="1">
      <alignment vertical="top"/>
    </xf>
    <xf numFmtId="0" fontId="36" fillId="9" borderId="0" xfId="6" applyFont="1" applyFill="1" applyAlignment="1">
      <alignment horizontal="center" vertical="center"/>
    </xf>
    <xf numFmtId="0" fontId="36" fillId="9" borderId="0" xfId="0" applyFont="1" applyFill="1" applyAlignment="1">
      <alignment horizontal="center" vertical="center"/>
    </xf>
    <xf numFmtId="0" fontId="3" fillId="0" borderId="0" xfId="6" applyFont="1"/>
    <xf numFmtId="0" fontId="3" fillId="0" borderId="0" xfId="6" applyFont="1" applyAlignment="1">
      <alignment vertical="top"/>
    </xf>
    <xf numFmtId="0" fontId="31" fillId="4" borderId="0" xfId="6" applyFont="1" applyFill="1" applyAlignment="1">
      <alignment horizontal="left" vertical="top"/>
    </xf>
    <xf numFmtId="0" fontId="31" fillId="8" borderId="0" xfId="6" applyFont="1" applyFill="1" applyAlignment="1">
      <alignment horizontal="left" vertical="top"/>
    </xf>
    <xf numFmtId="0" fontId="31" fillId="11" borderId="18" xfId="0" applyFont="1" applyFill="1" applyBorder="1" applyAlignment="1">
      <alignment horizontal="center" vertical="center" wrapText="1"/>
    </xf>
    <xf numFmtId="0" fontId="28" fillId="41" borderId="18" xfId="0" applyFont="1" applyFill="1" applyBorder="1" applyAlignment="1">
      <alignment horizontal="center" vertical="center"/>
    </xf>
    <xf numFmtId="0" fontId="28" fillId="41" borderId="18" xfId="0" applyFont="1" applyFill="1" applyBorder="1" applyAlignment="1">
      <alignment horizontal="center" vertical="center" wrapText="1"/>
    </xf>
    <xf numFmtId="0" fontId="28" fillId="41" borderId="18" xfId="0" applyFont="1" applyFill="1" applyBorder="1" applyAlignment="1">
      <alignment vertical="top" wrapText="1"/>
    </xf>
    <xf numFmtId="0" fontId="46" fillId="9" borderId="18" xfId="0" applyFont="1" applyFill="1" applyBorder="1" applyAlignment="1">
      <alignment vertical="top"/>
    </xf>
    <xf numFmtId="0" fontId="36" fillId="9" borderId="0" xfId="0" applyFont="1" applyFill="1" applyAlignment="1">
      <alignment vertical="top"/>
    </xf>
    <xf numFmtId="0" fontId="40" fillId="9" borderId="0" xfId="0" applyFont="1" applyFill="1" applyAlignment="1">
      <alignment vertical="top"/>
    </xf>
    <xf numFmtId="0" fontId="28" fillId="9" borderId="18" xfId="0" applyFont="1" applyFill="1" applyBorder="1" applyAlignment="1">
      <alignment vertical="top" wrapText="1"/>
    </xf>
    <xf numFmtId="0" fontId="49" fillId="0" borderId="18" xfId="0" applyFont="1" applyBorder="1" applyAlignment="1">
      <alignment horizontal="left" vertical="center" wrapText="1"/>
    </xf>
    <xf numFmtId="0" fontId="36" fillId="41" borderId="18" xfId="0" applyFont="1" applyFill="1" applyBorder="1" applyAlignment="1">
      <alignment horizontal="left" vertical="top" wrapText="1"/>
    </xf>
    <xf numFmtId="0" fontId="36" fillId="9" borderId="18" xfId="0" applyFont="1" applyFill="1" applyBorder="1" applyAlignment="1">
      <alignment horizontal="center" vertical="center" wrapText="1"/>
    </xf>
    <xf numFmtId="0" fontId="36" fillId="41" borderId="18" xfId="0" applyFont="1" applyFill="1" applyBorder="1" applyAlignment="1">
      <alignment horizontal="left" vertical="center" wrapText="1"/>
    </xf>
    <xf numFmtId="0" fontId="36" fillId="41" borderId="18" xfId="0" applyFont="1" applyFill="1" applyBorder="1" applyAlignment="1">
      <alignment horizontal="center" vertical="center"/>
    </xf>
    <xf numFmtId="0" fontId="31" fillId="41" borderId="18" xfId="0" applyFont="1" applyFill="1" applyBorder="1" applyAlignment="1">
      <alignment horizontal="center" vertical="center"/>
    </xf>
    <xf numFmtId="0" fontId="36" fillId="41" borderId="18" xfId="0" applyFont="1" applyFill="1" applyBorder="1" applyAlignment="1">
      <alignment horizontal="center" vertical="center" wrapText="1"/>
    </xf>
    <xf numFmtId="0" fontId="36" fillId="9" borderId="18" xfId="0" applyFont="1" applyFill="1" applyBorder="1" applyAlignment="1">
      <alignment vertical="top" wrapText="1"/>
    </xf>
    <xf numFmtId="0" fontId="36" fillId="9" borderId="18" xfId="0" applyFont="1" applyFill="1" applyBorder="1" applyAlignment="1">
      <alignment vertical="top"/>
    </xf>
    <xf numFmtId="0" fontId="28" fillId="9" borderId="18" xfId="0" applyFont="1" applyFill="1" applyBorder="1" applyAlignment="1">
      <alignment horizontal="center" vertical="center" wrapText="1"/>
    </xf>
    <xf numFmtId="0" fontId="48" fillId="0" borderId="18" xfId="0" applyFont="1" applyBorder="1" applyAlignment="1">
      <alignment horizontal="center" vertical="center" wrapText="1"/>
    </xf>
    <xf numFmtId="0" fontId="48" fillId="0" borderId="28" xfId="0" applyFont="1" applyBorder="1" applyAlignment="1">
      <alignment horizontal="center" vertical="center" wrapText="1"/>
    </xf>
    <xf numFmtId="0" fontId="29" fillId="9" borderId="0" xfId="6" applyFont="1" applyFill="1" applyAlignment="1">
      <alignment horizontal="center" vertical="center"/>
    </xf>
    <xf numFmtId="49" fontId="36" fillId="9" borderId="0" xfId="6" applyNumberFormat="1" applyFont="1" applyFill="1" applyAlignment="1">
      <alignment horizontal="center" vertical="center"/>
    </xf>
    <xf numFmtId="0" fontId="49" fillId="0" borderId="18" xfId="0" applyFont="1" applyBorder="1" applyAlignment="1">
      <alignment horizontal="center" vertical="center" wrapText="1"/>
    </xf>
    <xf numFmtId="0" fontId="49" fillId="0" borderId="18" xfId="0" applyFont="1" applyBorder="1" applyAlignment="1">
      <alignment horizontal="center" vertical="center"/>
    </xf>
    <xf numFmtId="0" fontId="36" fillId="0" borderId="18" xfId="0" applyFont="1" applyBorder="1" applyAlignment="1">
      <alignment horizontal="left" vertical="center" wrapText="1"/>
    </xf>
    <xf numFmtId="0" fontId="36" fillId="0" borderId="18" xfId="0" applyFont="1" applyBorder="1" applyAlignment="1">
      <alignment horizontal="center" vertical="center" wrapText="1"/>
    </xf>
    <xf numFmtId="0" fontId="29" fillId="9" borderId="0" xfId="0" applyFont="1" applyFill="1" applyAlignment="1">
      <alignment horizontal="center" vertical="center"/>
    </xf>
    <xf numFmtId="0" fontId="3" fillId="0" borderId="0" xfId="6" applyFont="1" applyAlignment="1">
      <alignment vertical="center"/>
    </xf>
    <xf numFmtId="0" fontId="3" fillId="0" borderId="0" xfId="6" applyFont="1" applyAlignment="1">
      <alignment horizontal="center" vertical="center"/>
    </xf>
    <xf numFmtId="0" fontId="36" fillId="9" borderId="18" xfId="0" applyFont="1" applyFill="1" applyBorder="1" applyAlignment="1">
      <alignment horizontal="left" vertical="center" wrapText="1"/>
    </xf>
    <xf numFmtId="0" fontId="49" fillId="42" borderId="18" xfId="0" applyFont="1" applyFill="1" applyBorder="1" applyAlignment="1">
      <alignment horizontal="left" vertical="center" wrapText="1"/>
    </xf>
    <xf numFmtId="0" fontId="29" fillId="9" borderId="0" xfId="0" applyFont="1" applyFill="1" applyAlignment="1">
      <alignment horizontal="left" vertical="center"/>
    </xf>
    <xf numFmtId="0" fontId="29" fillId="9" borderId="0" xfId="6" applyFont="1" applyFill="1" applyAlignment="1">
      <alignment horizontal="left" vertical="center"/>
    </xf>
    <xf numFmtId="0" fontId="3" fillId="0" borderId="0" xfId="6" applyFont="1" applyAlignment="1">
      <alignment horizontal="left" vertical="center"/>
    </xf>
    <xf numFmtId="0" fontId="36" fillId="9" borderId="0" xfId="6" applyFont="1" applyFill="1" applyAlignment="1">
      <alignment horizontal="left" vertical="top"/>
    </xf>
    <xf numFmtId="0" fontId="29" fillId="9" borderId="0" xfId="6" applyFont="1" applyFill="1" applyAlignment="1">
      <alignment horizontal="left" vertical="top"/>
    </xf>
    <xf numFmtId="0" fontId="49" fillId="0" borderId="18" xfId="0" applyFont="1" applyBorder="1" applyAlignment="1">
      <alignment horizontal="left" vertical="top" wrapText="1"/>
    </xf>
    <xf numFmtId="0" fontId="36" fillId="9" borderId="0" xfId="0" applyFont="1" applyFill="1" applyAlignment="1">
      <alignment horizontal="left" vertical="top"/>
    </xf>
    <xf numFmtId="0" fontId="38" fillId="9" borderId="18" xfId="0" applyFont="1" applyFill="1" applyBorder="1" applyAlignment="1">
      <alignment horizontal="left" vertical="center"/>
    </xf>
    <xf numFmtId="0" fontId="2" fillId="9" borderId="18" xfId="0" applyFont="1" applyFill="1" applyBorder="1" applyAlignment="1">
      <alignment vertical="center" wrapText="1"/>
    </xf>
    <xf numFmtId="0" fontId="2" fillId="41" borderId="18" xfId="0" applyFont="1" applyFill="1" applyBorder="1" applyAlignment="1">
      <alignment horizontal="left" vertical="top" wrapText="1"/>
    </xf>
    <xf numFmtId="0" fontId="2" fillId="41" borderId="18" xfId="0" applyFont="1" applyFill="1" applyBorder="1" applyAlignment="1">
      <alignment horizontal="left" vertical="center" wrapText="1"/>
    </xf>
    <xf numFmtId="0" fontId="2" fillId="41" borderId="18" xfId="0" applyFont="1" applyFill="1" applyBorder="1" applyAlignment="1">
      <alignment horizontal="center" vertical="center" wrapText="1"/>
    </xf>
    <xf numFmtId="0" fontId="2" fillId="41" borderId="18" xfId="0" applyFont="1" applyFill="1" applyBorder="1" applyAlignment="1">
      <alignment horizontal="center" vertical="center"/>
    </xf>
    <xf numFmtId="0" fontId="2" fillId="9" borderId="18" xfId="0" applyFont="1" applyFill="1" applyBorder="1" applyAlignment="1">
      <alignment horizontal="left" vertical="center" wrapText="1"/>
    </xf>
    <xf numFmtId="0" fontId="2" fillId="9" borderId="18" xfId="0" applyFont="1" applyFill="1" applyBorder="1" applyAlignment="1">
      <alignment horizontal="center" vertical="center" wrapText="1"/>
    </xf>
    <xf numFmtId="0" fontId="2" fillId="9" borderId="18" xfId="0" applyFont="1" applyFill="1" applyBorder="1" applyAlignment="1">
      <alignment horizontal="center" vertical="center"/>
    </xf>
    <xf numFmtId="0" fontId="2" fillId="9" borderId="18" xfId="0" applyFont="1" applyFill="1" applyBorder="1" applyAlignment="1">
      <alignment horizontal="left" vertical="top" wrapText="1"/>
    </xf>
    <xf numFmtId="0" fontId="2" fillId="9" borderId="18" xfId="0" applyFont="1" applyFill="1" applyBorder="1" applyAlignment="1">
      <alignment horizontal="left" vertical="center"/>
    </xf>
    <xf numFmtId="0" fontId="2" fillId="0" borderId="18" xfId="0" applyFont="1" applyBorder="1" applyAlignment="1">
      <alignment horizontal="left" vertical="top" wrapText="1"/>
    </xf>
    <xf numFmtId="0" fontId="2" fillId="0" borderId="18" xfId="0" applyFont="1" applyBorder="1" applyAlignment="1">
      <alignment horizontal="center" vertical="center" wrapText="1"/>
    </xf>
    <xf numFmtId="0" fontId="2" fillId="41" borderId="18" xfId="0" applyFont="1" applyFill="1" applyBorder="1" applyAlignment="1">
      <alignment vertical="center" wrapText="1"/>
    </xf>
    <xf numFmtId="0" fontId="2" fillId="0" borderId="18" xfId="0" applyFont="1" applyBorder="1" applyAlignment="1">
      <alignment horizontal="left" vertical="center"/>
    </xf>
    <xf numFmtId="0" fontId="2" fillId="0" borderId="18" xfId="0" applyFont="1" applyBorder="1" applyAlignment="1">
      <alignment horizontal="center" vertical="center"/>
    </xf>
    <xf numFmtId="0" fontId="2" fillId="0" borderId="18" xfId="0" applyFont="1" applyBorder="1" applyAlignment="1">
      <alignment vertical="center"/>
    </xf>
    <xf numFmtId="0" fontId="51" fillId="0" borderId="18" xfId="0" applyFont="1" applyFill="1" applyBorder="1" applyAlignment="1">
      <alignment horizontal="left" vertical="center" wrapText="1"/>
    </xf>
    <xf numFmtId="0" fontId="51" fillId="0" borderId="18" xfId="0" applyFont="1" applyFill="1" applyBorder="1" applyAlignment="1" applyProtection="1">
      <alignment horizontal="left" vertical="center" wrapText="1"/>
      <protection locked="0"/>
    </xf>
    <xf numFmtId="0" fontId="52" fillId="0" borderId="18" xfId="0" applyFont="1" applyBorder="1" applyAlignment="1" applyProtection="1">
      <alignment horizontal="left" vertical="center" wrapText="1"/>
      <protection locked="0"/>
    </xf>
    <xf numFmtId="1" fontId="52" fillId="0" borderId="18" xfId="0" applyNumberFormat="1" applyFont="1" applyBorder="1" applyAlignment="1" applyProtection="1">
      <alignment horizontal="left" vertical="center" wrapText="1"/>
      <protection locked="0"/>
    </xf>
    <xf numFmtId="1" fontId="52" fillId="0" borderId="18" xfId="0" applyNumberFormat="1" applyFont="1" applyBorder="1" applyAlignment="1" applyProtection="1">
      <alignment horizontal="left"/>
      <protection locked="0"/>
    </xf>
    <xf numFmtId="1" fontId="52" fillId="0" borderId="18" xfId="0" applyNumberFormat="1" applyFont="1" applyBorder="1" applyAlignment="1" applyProtection="1">
      <alignment horizontal="left" vertical="center"/>
      <protection locked="0"/>
    </xf>
    <xf numFmtId="0" fontId="1" fillId="41" borderId="18" xfId="0" applyFont="1" applyFill="1" applyBorder="1" applyAlignment="1">
      <alignment horizontal="center" vertical="center" wrapText="1"/>
    </xf>
    <xf numFmtId="0" fontId="53" fillId="0" borderId="18" xfId="0" applyFont="1" applyFill="1" applyBorder="1" applyAlignment="1" applyProtection="1">
      <alignment horizontal="left" vertical="center" wrapText="1"/>
      <protection locked="0"/>
    </xf>
    <xf numFmtId="1" fontId="53" fillId="0" borderId="18" xfId="0" applyNumberFormat="1" applyFont="1" applyBorder="1" applyAlignment="1" applyProtection="1">
      <alignment horizontal="left" vertical="center" wrapText="1"/>
      <protection locked="0"/>
    </xf>
    <xf numFmtId="1" fontId="31" fillId="0" borderId="18" xfId="0" applyNumberFormat="1" applyFont="1" applyFill="1" applyBorder="1" applyAlignment="1">
      <alignment horizontal="center" vertical="center" wrapText="1"/>
    </xf>
    <xf numFmtId="0" fontId="52" fillId="0" borderId="18" xfId="0" applyFont="1" applyFill="1" applyBorder="1" applyAlignment="1" applyProtection="1">
      <alignment horizontal="left" vertical="center" wrapText="1"/>
      <protection locked="0"/>
    </xf>
    <xf numFmtId="0" fontId="31" fillId="0" borderId="18" xfId="0" applyFont="1" applyFill="1" applyBorder="1" applyAlignment="1">
      <alignment horizontal="center" vertical="center" wrapText="1"/>
    </xf>
    <xf numFmtId="0" fontId="31" fillId="0" borderId="18" xfId="0" applyFont="1" applyFill="1" applyBorder="1" applyAlignment="1">
      <alignment wrapText="1"/>
    </xf>
    <xf numFmtId="0" fontId="51" fillId="0" borderId="18" xfId="0" applyFont="1" applyFill="1" applyBorder="1" applyAlignment="1" applyProtection="1">
      <alignment horizontal="left" wrapText="1"/>
      <protection locked="0"/>
    </xf>
    <xf numFmtId="0" fontId="10" fillId="11" borderId="13"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0" borderId="0" xfId="0" applyFont="1" applyFill="1" applyAlignment="1" applyProtection="1">
      <alignment horizontal="center"/>
      <protection locked="0"/>
    </xf>
    <xf numFmtId="0" fontId="10" fillId="10" borderId="3" xfId="0" applyFont="1" applyFill="1" applyBorder="1" applyAlignment="1" applyProtection="1">
      <alignment horizontal="center"/>
      <protection locked="0"/>
    </xf>
    <xf numFmtId="0" fontId="10" fillId="4" borderId="0" xfId="0" applyFont="1" applyFill="1" applyAlignment="1" applyProtection="1">
      <alignment horizontal="center"/>
      <protection locked="0"/>
    </xf>
    <xf numFmtId="0" fontId="10" fillId="4" borderId="3" xfId="0" applyFont="1" applyFill="1" applyBorder="1" applyAlignment="1" applyProtection="1">
      <alignment horizontal="center"/>
      <protection locked="0"/>
    </xf>
    <xf numFmtId="0" fontId="10" fillId="11" borderId="13"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13" xfId="0" applyFont="1" applyFill="1" applyBorder="1" applyAlignment="1">
      <alignment horizontal="center"/>
    </xf>
    <xf numFmtId="0" fontId="31" fillId="8" borderId="0" xfId="6" applyFont="1" applyFill="1" applyAlignment="1">
      <alignment horizontal="left"/>
    </xf>
    <xf numFmtId="0" fontId="31" fillId="8" borderId="0" xfId="6" applyFont="1" applyFill="1" applyAlignment="1">
      <alignment vertical="center"/>
    </xf>
    <xf numFmtId="0" fontId="31" fillId="8" borderId="0" xfId="6" applyFont="1" applyFill="1" applyAlignment="1">
      <alignment horizontal="center" vertical="center"/>
    </xf>
    <xf numFmtId="0" fontId="31" fillId="0" borderId="0" xfId="6" applyFont="1" applyAlignment="1">
      <alignment horizontal="center"/>
    </xf>
    <xf numFmtId="0" fontId="31" fillId="0" borderId="0" xfId="6" applyFont="1" applyAlignment="1">
      <alignment vertical="center"/>
    </xf>
    <xf numFmtId="0" fontId="31" fillId="0" borderId="0" xfId="6" applyFont="1" applyAlignment="1">
      <alignment horizontal="center" vertical="center"/>
    </xf>
    <xf numFmtId="0" fontId="31" fillId="4" borderId="0" xfId="6" applyFont="1" applyFill="1" applyAlignment="1">
      <alignment horizontal="left"/>
    </xf>
    <xf numFmtId="0" fontId="31" fillId="4" borderId="0" xfId="6" applyFont="1" applyFill="1" applyAlignment="1">
      <alignment vertical="center"/>
    </xf>
    <xf numFmtId="0" fontId="31" fillId="4" borderId="0" xfId="6" applyFont="1" applyFill="1" applyAlignment="1">
      <alignment horizontal="center" vertical="center"/>
    </xf>
    <xf numFmtId="0" fontId="10" fillId="4" borderId="2" xfId="0" applyFont="1" applyFill="1" applyBorder="1" applyAlignment="1">
      <alignment horizontal="left" vertical="top" wrapText="1"/>
    </xf>
    <xf numFmtId="0" fontId="38" fillId="9" borderId="0" xfId="0" applyFont="1" applyFill="1" applyAlignment="1">
      <alignment horizontal="center"/>
    </xf>
    <xf numFmtId="0" fontId="30" fillId="9" borderId="0" xfId="6" applyFont="1" applyFill="1" applyAlignment="1">
      <alignment horizontal="center"/>
    </xf>
    <xf numFmtId="0" fontId="31" fillId="9" borderId="0" xfId="6" applyFont="1" applyFill="1" applyAlignment="1">
      <alignment horizontal="center"/>
    </xf>
    <xf numFmtId="0" fontId="10" fillId="9" borderId="0" xfId="6" applyFont="1" applyFill="1" applyAlignment="1">
      <alignment horizontal="center"/>
    </xf>
    <xf numFmtId="0" fontId="10" fillId="10" borderId="14" xfId="0" applyFont="1" applyFill="1" applyBorder="1" applyAlignment="1">
      <alignment horizontal="left"/>
    </xf>
    <xf numFmtId="0" fontId="18" fillId="0" borderId="4" xfId="0" applyFont="1" applyBorder="1" applyAlignment="1">
      <alignment horizontal="center"/>
    </xf>
    <xf numFmtId="0" fontId="18"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31" fillId="0" borderId="4" xfId="0" applyFont="1" applyBorder="1" applyAlignment="1">
      <alignment horizontal="center"/>
    </xf>
    <xf numFmtId="0" fontId="31" fillId="0" borderId="0" xfId="0" applyFont="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10" fillId="4" borderId="0" xfId="0" applyFont="1" applyFill="1" applyAlignment="1">
      <alignment horizontal="left"/>
    </xf>
    <xf numFmtId="0" fontId="22" fillId="11" borderId="5" xfId="3" applyFont="1" applyFill="1" applyBorder="1" applyAlignment="1">
      <alignment horizontal="center" textRotation="90"/>
    </xf>
    <xf numFmtId="0" fontId="10" fillId="4" borderId="12" xfId="0" applyFont="1" applyFill="1" applyBorder="1" applyAlignment="1">
      <alignment horizontal="left"/>
    </xf>
    <xf numFmtId="0" fontId="10" fillId="10" borderId="0" xfId="0" applyFont="1" applyFill="1" applyAlignment="1">
      <alignment horizontal="left"/>
    </xf>
    <xf numFmtId="0" fontId="10" fillId="10" borderId="12" xfId="0" applyFont="1" applyFill="1" applyBorder="1" applyAlignment="1">
      <alignment horizontal="left"/>
    </xf>
    <xf numFmtId="0" fontId="15" fillId="11" borderId="5" xfId="0" applyFont="1" applyFill="1" applyBorder="1" applyAlignment="1">
      <alignment horizontal="center" vertical="center" wrapText="1"/>
    </xf>
    <xf numFmtId="0" fontId="22" fillId="11" borderId="6" xfId="3" applyFont="1" applyFill="1" applyBorder="1" applyAlignment="1">
      <alignment horizontal="center" vertical="center"/>
    </xf>
    <xf numFmtId="0" fontId="22" fillId="11" borderId="13" xfId="3" applyFont="1" applyFill="1" applyBorder="1" applyAlignment="1">
      <alignment horizontal="center" vertical="center"/>
    </xf>
    <xf numFmtId="0" fontId="22" fillId="11" borderId="6" xfId="3" applyFont="1" applyFill="1" applyBorder="1" applyAlignment="1">
      <alignment horizontal="center" vertical="center" wrapText="1"/>
    </xf>
    <xf numFmtId="0" fontId="22" fillId="11" borderId="13" xfId="3" applyFont="1" applyFill="1" applyBorder="1" applyAlignment="1">
      <alignment horizontal="center" vertical="center" wrapText="1"/>
    </xf>
    <xf numFmtId="0" fontId="15" fillId="11" borderId="5" xfId="0" applyFont="1" applyFill="1" applyBorder="1" applyAlignment="1">
      <alignment horizontal="center" vertical="center"/>
    </xf>
    <xf numFmtId="0" fontId="22" fillId="11" borderId="5" xfId="3" applyFont="1" applyFill="1" applyBorder="1" applyAlignment="1">
      <alignment horizontal="center" vertic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6"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10" fillId="0" borderId="12" xfId="0" applyFont="1" applyBorder="1" applyAlignment="1">
      <alignment horizontal="center"/>
    </xf>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tableStyles>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209550</xdr:colOff>
      <xdr:row>0</xdr:row>
      <xdr:rowOff>28575</xdr:rowOff>
    </xdr:from>
    <xdr:ext cx="1828800" cy="920288"/>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28800" cy="92028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47625</xdr:rowOff>
    </xdr:from>
    <xdr:to>
      <xdr:col>1</xdr:col>
      <xdr:colOff>441060</xdr:colOff>
      <xdr:row>4</xdr:row>
      <xdr:rowOff>160020</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47625"/>
          <a:ext cx="1862667" cy="869632"/>
        </a:xfrm>
        <a:prstGeom prst="rect">
          <a:avLst/>
        </a:prstGeom>
      </xdr:spPr>
    </xdr:pic>
    <xdr:clientData/>
  </xdr:twoCellAnchor>
  <xdr:oneCellAnchor>
    <xdr:from>
      <xdr:col>1</xdr:col>
      <xdr:colOff>647700</xdr:colOff>
      <xdr:row>137</xdr:row>
      <xdr:rowOff>0</xdr:rowOff>
    </xdr:from>
    <xdr:ext cx="752475" cy="0"/>
    <xdr:pic>
      <xdr:nvPicPr>
        <xdr:cNvPr id="3" name="2 Imagen">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137</xdr:row>
      <xdr:rowOff>0</xdr:rowOff>
    </xdr:from>
    <xdr:ext cx="752475" cy="0"/>
    <xdr:pic>
      <xdr:nvPicPr>
        <xdr:cNvPr id="4" name="2 Imagen">
          <a:extLst>
            <a:ext uri="{FF2B5EF4-FFF2-40B4-BE49-F238E27FC236}">
              <a16:creationId xmlns=""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137</xdr:row>
      <xdr:rowOff>0</xdr:rowOff>
    </xdr:from>
    <xdr:ext cx="752475" cy="0"/>
    <xdr:pic>
      <xdr:nvPicPr>
        <xdr:cNvPr id="5" name="2 Imagen">
          <a:extLst>
            <a:ext uri="{FF2B5EF4-FFF2-40B4-BE49-F238E27FC236}">
              <a16:creationId xmlns=""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137</xdr:row>
      <xdr:rowOff>0</xdr:rowOff>
    </xdr:from>
    <xdr:ext cx="752475" cy="0"/>
    <xdr:pic>
      <xdr:nvPicPr>
        <xdr:cNvPr id="6" name="2 Imagen">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137</xdr:row>
      <xdr:rowOff>0</xdr:rowOff>
    </xdr:from>
    <xdr:ext cx="752475" cy="0"/>
    <xdr:pic>
      <xdr:nvPicPr>
        <xdr:cNvPr id="7" name="2 Imagen">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137</xdr:row>
      <xdr:rowOff>0</xdr:rowOff>
    </xdr:from>
    <xdr:ext cx="752475" cy="0"/>
    <xdr:pic>
      <xdr:nvPicPr>
        <xdr:cNvPr id="8" name="2 Imagen">
          <a:extLst>
            <a:ext uri="{FF2B5EF4-FFF2-40B4-BE49-F238E27FC236}">
              <a16:creationId xmlns=""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137</xdr:row>
      <xdr:rowOff>0</xdr:rowOff>
    </xdr:from>
    <xdr:ext cx="752475" cy="0"/>
    <xdr:pic>
      <xdr:nvPicPr>
        <xdr:cNvPr id="9" name="2 Imagen">
          <a:extLst>
            <a:ext uri="{FF2B5EF4-FFF2-40B4-BE49-F238E27FC236}">
              <a16:creationId xmlns=""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137</xdr:row>
      <xdr:rowOff>0</xdr:rowOff>
    </xdr:from>
    <xdr:ext cx="752475" cy="0"/>
    <xdr:pic>
      <xdr:nvPicPr>
        <xdr:cNvPr id="10" name="2 Imagen">
          <a:extLst>
            <a:ext uri="{FF2B5EF4-FFF2-40B4-BE49-F238E27FC236}">
              <a16:creationId xmlns=""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137</xdr:row>
      <xdr:rowOff>0</xdr:rowOff>
    </xdr:from>
    <xdr:ext cx="752475" cy="0"/>
    <xdr:pic>
      <xdr:nvPicPr>
        <xdr:cNvPr id="11" name="2 Imagen">
          <a:extLst>
            <a:ext uri="{FF2B5EF4-FFF2-40B4-BE49-F238E27FC236}">
              <a16:creationId xmlns=""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137</xdr:row>
      <xdr:rowOff>0</xdr:rowOff>
    </xdr:from>
    <xdr:ext cx="752475" cy="0"/>
    <xdr:pic>
      <xdr:nvPicPr>
        <xdr:cNvPr id="12" name="2 Imagen">
          <a:extLst>
            <a:ext uri="{FF2B5EF4-FFF2-40B4-BE49-F238E27FC236}">
              <a16:creationId xmlns=""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tables/table1.xml><?xml version="1.0" encoding="utf-8"?>
<table xmlns="http://schemas.openxmlformats.org/spreadsheetml/2006/main" id="1" name="Tabla1" displayName="Tabla1" ref="B7:N333" headerRowDxfId="28" dataDxfId="27" totalsRowDxfId="26">
  <autoFilter ref="B7:N333"/>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tableColumn id="15" name="SRS" dataDxfId="21" totalsRowDxfId="20"/>
    <tableColumn id="16" name="AREA" dataDxfId="19" totalsRowDxfId="18"/>
    <tableColumn id="17" name="TIPO" dataDxfId="17" totalsRowDxfId="16"/>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zoomScaleNormal="100" workbookViewId="0">
      <selection activeCell="B1" sqref="B1:C1"/>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8" t="s">
        <v>0</v>
      </c>
      <c r="C1" s="77"/>
      <c r="D1" s="77"/>
      <c r="E1" s="77"/>
      <c r="F1" s="77"/>
      <c r="G1" s="77"/>
      <c r="H1" s="77"/>
      <c r="I1" s="77"/>
    </row>
    <row r="2" spans="1:21" ht="15.75" x14ac:dyDescent="0.25">
      <c r="B2" s="78" t="s">
        <v>1</v>
      </c>
      <c r="C2" s="78"/>
      <c r="D2" s="78"/>
      <c r="E2" s="78"/>
      <c r="F2" s="78"/>
      <c r="G2" s="78"/>
      <c r="H2" s="78"/>
      <c r="I2" s="78"/>
      <c r="K2" s="386"/>
      <c r="L2" s="386"/>
      <c r="M2" s="386"/>
      <c r="N2" s="386"/>
      <c r="O2" s="386"/>
      <c r="P2" s="386"/>
      <c r="Q2" s="386"/>
      <c r="R2" s="386"/>
      <c r="S2" s="386"/>
      <c r="T2" s="386"/>
      <c r="U2" s="386"/>
    </row>
    <row r="3" spans="1:21" ht="15" x14ac:dyDescent="0.25">
      <c r="B3" s="79" t="s">
        <v>2</v>
      </c>
      <c r="C3" s="79"/>
      <c r="D3" s="79"/>
      <c r="E3" s="79"/>
      <c r="F3" s="79"/>
      <c r="G3" s="79"/>
      <c r="H3" s="79"/>
      <c r="I3" s="79"/>
      <c r="K3" s="57">
        <v>2025</v>
      </c>
      <c r="L3" s="57">
        <v>2026</v>
      </c>
      <c r="M3" s="57">
        <v>2027</v>
      </c>
      <c r="N3" s="57">
        <v>2028</v>
      </c>
    </row>
    <row r="4" spans="1:21" x14ac:dyDescent="0.2">
      <c r="B4" s="80" t="s">
        <v>3</v>
      </c>
      <c r="C4" s="80"/>
      <c r="D4" s="80"/>
      <c r="E4" s="80"/>
      <c r="F4" s="80"/>
      <c r="G4" s="80"/>
      <c r="H4" s="80"/>
      <c r="I4" s="80"/>
      <c r="K4" s="57" t="s">
        <v>4</v>
      </c>
      <c r="L4" s="57" t="s">
        <v>5</v>
      </c>
      <c r="M4" s="57" t="s">
        <v>6</v>
      </c>
      <c r="N4" s="57" t="s">
        <v>7</v>
      </c>
      <c r="O4" s="57" t="s">
        <v>8</v>
      </c>
      <c r="P4" s="57" t="s">
        <v>9</v>
      </c>
      <c r="Q4" s="57" t="s">
        <v>10</v>
      </c>
      <c r="R4" s="57" t="s">
        <v>11</v>
      </c>
      <c r="S4" s="57" t="s">
        <v>12</v>
      </c>
      <c r="T4" s="57" t="s">
        <v>13</v>
      </c>
    </row>
    <row r="5" spans="1:21" x14ac:dyDescent="0.2">
      <c r="A5" s="82"/>
      <c r="B5" s="80" t="s">
        <v>14</v>
      </c>
      <c r="C5" s="81">
        <v>2026</v>
      </c>
      <c r="D5" s="80"/>
      <c r="F5" s="80"/>
      <c r="G5" s="82"/>
      <c r="H5" s="82"/>
    </row>
    <row r="6" spans="1:21" x14ac:dyDescent="0.2">
      <c r="A6" s="4" t="s">
        <v>15</v>
      </c>
      <c r="B6" s="495" t="s">
        <v>13</v>
      </c>
      <c r="C6" s="495"/>
      <c r="D6" s="495"/>
      <c r="E6" s="495"/>
      <c r="F6" s="495"/>
      <c r="G6" s="495"/>
      <c r="H6" s="495"/>
      <c r="I6" s="496"/>
    </row>
    <row r="7" spans="1:21" x14ac:dyDescent="0.2">
      <c r="A7" s="55" t="s">
        <v>16</v>
      </c>
      <c r="B7" s="493" t="s">
        <v>17</v>
      </c>
      <c r="C7" s="493"/>
      <c r="D7" s="493"/>
      <c r="E7" s="493"/>
      <c r="F7" s="493"/>
      <c r="G7" s="493"/>
      <c r="H7" s="493"/>
      <c r="I7" s="494"/>
    </row>
    <row r="8" spans="1:21" ht="12.75" customHeight="1" x14ac:dyDescent="0.2">
      <c r="A8" s="497" t="s">
        <v>18</v>
      </c>
      <c r="B8" s="491" t="s">
        <v>19</v>
      </c>
      <c r="C8" s="491" t="s">
        <v>20</v>
      </c>
      <c r="D8" s="491" t="s">
        <v>21</v>
      </c>
      <c r="E8" s="491" t="s">
        <v>22</v>
      </c>
      <c r="F8" s="499" t="s">
        <v>23</v>
      </c>
      <c r="G8" s="499"/>
      <c r="H8" s="499"/>
      <c r="I8" s="499"/>
      <c r="K8" s="491" t="s">
        <v>24</v>
      </c>
    </row>
    <row r="9" spans="1:21" ht="31.5" customHeight="1" x14ac:dyDescent="0.2">
      <c r="A9" s="498"/>
      <c r="B9" s="492"/>
      <c r="C9" s="492"/>
      <c r="D9" s="492"/>
      <c r="E9" s="492"/>
      <c r="F9" s="6" t="s">
        <v>25</v>
      </c>
      <c r="G9" s="6" t="s">
        <v>26</v>
      </c>
      <c r="H9" s="6" t="s">
        <v>27</v>
      </c>
      <c r="I9" s="6" t="s">
        <v>28</v>
      </c>
      <c r="K9" s="492"/>
    </row>
    <row r="10" spans="1:21" x14ac:dyDescent="0.2">
      <c r="A10" s="7" t="s">
        <v>29</v>
      </c>
      <c r="B10" s="8" t="s">
        <v>30</v>
      </c>
      <c r="C10" s="69">
        <f t="shared" ref="C10:I10" si="0">SUM(C11:C12)</f>
        <v>58300</v>
      </c>
      <c r="D10" s="67">
        <f t="shared" si="0"/>
        <v>54454.28571428571</v>
      </c>
      <c r="E10" s="67">
        <f t="shared" si="0"/>
        <v>50864.353200601006</v>
      </c>
      <c r="F10" s="67">
        <f t="shared" si="0"/>
        <v>13105.708162989846</v>
      </c>
      <c r="G10" s="67">
        <f t="shared" si="0"/>
        <v>12927.856916713708</v>
      </c>
      <c r="H10" s="67">
        <f t="shared" si="0"/>
        <v>12598.933051045096</v>
      </c>
      <c r="I10" s="67">
        <f t="shared" si="0"/>
        <v>12231.855069852352</v>
      </c>
      <c r="K10" s="67">
        <f>SUM(K11:K12)</f>
        <v>31765</v>
      </c>
    </row>
    <row r="11" spans="1:21" x14ac:dyDescent="0.2">
      <c r="A11" s="9" t="s">
        <v>31</v>
      </c>
      <c r="B11" s="75"/>
      <c r="C11" s="76">
        <v>23923</v>
      </c>
      <c r="D11" s="66">
        <f>(K11/7)*12</f>
        <v>22517.142857142855</v>
      </c>
      <c r="E11" s="251">
        <f>IF(C11="",0,(D11/C11)*D11)</f>
        <v>21193.902204948354</v>
      </c>
      <c r="F11" s="76">
        <f>+(6148/C11)*E11</f>
        <v>5446.6459372161717</v>
      </c>
      <c r="G11" s="76">
        <f>+(6070/C11)*E11</f>
        <v>5377.5440531721151</v>
      </c>
      <c r="H11" s="76">
        <f>+(5915/C11)*E11</f>
        <v>5240.2262066743097</v>
      </c>
      <c r="I11" s="76">
        <f>+(5790/C11)*E11</f>
        <v>5129.4860078857573</v>
      </c>
      <c r="K11" s="76">
        <v>13135</v>
      </c>
    </row>
    <row r="12" spans="1:21" x14ac:dyDescent="0.2">
      <c r="A12" s="9" t="s">
        <v>32</v>
      </c>
      <c r="B12" s="75"/>
      <c r="C12" s="76">
        <v>34377</v>
      </c>
      <c r="D12" s="66">
        <f>(K12/7)*12</f>
        <v>31937.142857142859</v>
      </c>
      <c r="E12" s="251">
        <f>IF(C12="",0,(D12/C12)*D12)</f>
        <v>29670.450995652649</v>
      </c>
      <c r="F12" s="70">
        <f>+(8874/C12)*E12</f>
        <v>7659.062225773675</v>
      </c>
      <c r="G12" s="70">
        <f>+(8748/C12)*E12</f>
        <v>7550.3128635415933</v>
      </c>
      <c r="H12" s="70">
        <f>+(8526/C12)*E12</f>
        <v>7358.7068443707858</v>
      </c>
      <c r="I12" s="70">
        <f>+(8229/C12)*E12</f>
        <v>7102.3690619665949</v>
      </c>
      <c r="K12" s="70">
        <v>18630</v>
      </c>
    </row>
    <row r="13" spans="1:21" ht="15" customHeight="1" x14ac:dyDescent="0.2">
      <c r="A13" s="7" t="s">
        <v>33</v>
      </c>
      <c r="B13" s="8" t="s">
        <v>30</v>
      </c>
      <c r="C13" s="69">
        <f>SUM(C14)</f>
        <v>79419</v>
      </c>
      <c r="D13" s="68">
        <f t="shared" ref="D13:I13" si="1">D14</f>
        <v>74252.57142857142</v>
      </c>
      <c r="E13" s="67">
        <f t="shared" si="1"/>
        <v>69422.233517862231</v>
      </c>
      <c r="F13" s="68">
        <f t="shared" si="1"/>
        <v>20324.309693194507</v>
      </c>
      <c r="G13" s="68">
        <f t="shared" si="1"/>
        <v>16589.168180183449</v>
      </c>
      <c r="H13" s="68">
        <f t="shared" si="1"/>
        <v>16199.307867802703</v>
      </c>
      <c r="I13" s="67">
        <f t="shared" si="1"/>
        <v>16309.447776681569</v>
      </c>
      <c r="K13" s="67">
        <f>K14</f>
        <v>43314</v>
      </c>
    </row>
    <row r="14" spans="1:21" x14ac:dyDescent="0.2">
      <c r="A14" s="9" t="s">
        <v>34</v>
      </c>
      <c r="B14" s="75"/>
      <c r="C14" s="76">
        <v>79419</v>
      </c>
      <c r="D14" s="66">
        <f>(K14/7)*12</f>
        <v>74252.57142857142</v>
      </c>
      <c r="E14" s="251">
        <f>IF(C14="",0,(D14/C14)*D14)</f>
        <v>69422.233517862231</v>
      </c>
      <c r="F14" s="70">
        <f>+(23251/C14)*E14</f>
        <v>20324.309693194507</v>
      </c>
      <c r="G14" s="70">
        <f>+(18978/C14)*E14</f>
        <v>16589.168180183449</v>
      </c>
      <c r="H14" s="70">
        <f>+(18532/C14)*E14</f>
        <v>16199.307867802703</v>
      </c>
      <c r="I14" s="70">
        <f>+(18658/C14)*E14</f>
        <v>16309.447776681569</v>
      </c>
      <c r="K14" s="70">
        <v>43314</v>
      </c>
    </row>
    <row r="15" spans="1:21" x14ac:dyDescent="0.2">
      <c r="A15" s="7" t="s">
        <v>35</v>
      </c>
      <c r="B15" s="8" t="s">
        <v>36</v>
      </c>
      <c r="C15" s="69">
        <f t="shared" ref="C15:I15" si="2">SUM(C16:C29)</f>
        <v>25601</v>
      </c>
      <c r="D15" s="67">
        <f t="shared" si="2"/>
        <v>12243.428571428572</v>
      </c>
      <c r="E15" s="67">
        <f t="shared" si="2"/>
        <v>6392.0245728672171</v>
      </c>
      <c r="F15" s="67">
        <f t="shared" si="2"/>
        <v>3467.7130550246411</v>
      </c>
      <c r="G15" s="67">
        <f t="shared" si="2"/>
        <v>3129.3640302304266</v>
      </c>
      <c r="H15" s="67">
        <f t="shared" si="2"/>
        <v>7975.7913134814971</v>
      </c>
      <c r="I15" s="67">
        <f t="shared" si="2"/>
        <v>2905.0735381791951</v>
      </c>
      <c r="K15" s="67">
        <f>SUM(K16:K29)</f>
        <v>7142</v>
      </c>
    </row>
    <row r="16" spans="1:21" x14ac:dyDescent="0.2">
      <c r="A16" s="10" t="s">
        <v>37</v>
      </c>
      <c r="B16" s="75"/>
      <c r="C16" s="76"/>
      <c r="D16" s="66">
        <f t="shared" ref="D16:D29" si="3">(K16/7)*12</f>
        <v>0</v>
      </c>
      <c r="E16" s="251">
        <f t="shared" ref="E16:E29" si="4">IF(C16="",0,(D16/C16)*D16)</f>
        <v>0</v>
      </c>
      <c r="F16" s="70"/>
      <c r="G16" s="70"/>
      <c r="H16" s="70"/>
      <c r="I16" s="70"/>
      <c r="K16" s="70"/>
    </row>
    <row r="17" spans="1:11" x14ac:dyDescent="0.2">
      <c r="A17" s="10" t="s">
        <v>38</v>
      </c>
      <c r="B17" s="75"/>
      <c r="C17" s="76">
        <v>1484</v>
      </c>
      <c r="D17" s="66">
        <f t="shared" si="3"/>
        <v>1069.7142857142858</v>
      </c>
      <c r="E17" s="251">
        <f t="shared" si="4"/>
        <v>771.08399801969313</v>
      </c>
      <c r="F17" s="70">
        <f>+(357/C17)*E17</f>
        <v>185.49662216511487</v>
      </c>
      <c r="G17" s="70">
        <f>+(416/C17)*E17</f>
        <v>216.15292666859321</v>
      </c>
      <c r="H17" s="70">
        <f>+(343/C17)*E17</f>
        <v>178.22224482530643</v>
      </c>
      <c r="I17" s="70">
        <f>+(368/C17)*E17</f>
        <v>191.21220436067861</v>
      </c>
      <c r="K17" s="70">
        <v>624</v>
      </c>
    </row>
    <row r="18" spans="1:11" x14ac:dyDescent="0.2">
      <c r="A18" s="10" t="s">
        <v>39</v>
      </c>
      <c r="B18" s="75"/>
      <c r="C18" s="76">
        <v>3312</v>
      </c>
      <c r="D18" s="66">
        <f t="shared" si="3"/>
        <v>1671.4285714285713</v>
      </c>
      <c r="E18" s="251">
        <f t="shared" si="4"/>
        <v>843.50044365572296</v>
      </c>
      <c r="F18" s="70">
        <f>+(863/C18)*E18</f>
        <v>219.78891391150026</v>
      </c>
      <c r="G18" s="70">
        <f>+(880/C18)*E18</f>
        <v>224.11847536746262</v>
      </c>
      <c r="H18" s="70">
        <f>+(812/C18)*E18</f>
        <v>206.80022954361326</v>
      </c>
      <c r="I18" s="70">
        <f>+(757/C18)*E18</f>
        <v>192.79282483314682</v>
      </c>
      <c r="K18" s="70">
        <v>975</v>
      </c>
    </row>
    <row r="19" spans="1:11" x14ac:dyDescent="0.2">
      <c r="A19" s="10" t="s">
        <v>40</v>
      </c>
      <c r="B19" s="75"/>
      <c r="C19" s="76">
        <v>5701</v>
      </c>
      <c r="D19" s="66">
        <f t="shared" si="3"/>
        <v>2240.5714285714284</v>
      </c>
      <c r="E19" s="251">
        <f t="shared" si="4"/>
        <v>880.5753949360834</v>
      </c>
      <c r="F19" s="70">
        <f>+(1260/C19)*E19</f>
        <v>194.61936460611562</v>
      </c>
      <c r="G19" s="70">
        <f>+(1179/C19)*E19</f>
        <v>182.1081197385796</v>
      </c>
      <c r="H19" s="70">
        <f>+(1646/C19)*E19</f>
        <v>254.24085249338597</v>
      </c>
      <c r="I19" s="70">
        <f>+(1616/C19)*E19</f>
        <v>249.60705809800223</v>
      </c>
      <c r="K19" s="70">
        <v>1307</v>
      </c>
    </row>
    <row r="20" spans="1:11" x14ac:dyDescent="0.2">
      <c r="A20" s="10" t="s">
        <v>41</v>
      </c>
      <c r="B20" s="75"/>
      <c r="C20" s="76">
        <v>5306</v>
      </c>
      <c r="D20" s="66">
        <f t="shared" si="3"/>
        <v>2794.2857142857142</v>
      </c>
      <c r="E20" s="251">
        <f t="shared" si="4"/>
        <v>1471.5478049493449</v>
      </c>
      <c r="F20" s="70">
        <f>+(1405/C20)*E20</f>
        <v>389.65787145756303</v>
      </c>
      <c r="G20" s="70">
        <f>+(1386/C20)*E20</f>
        <v>384.38847675457828</v>
      </c>
      <c r="H20" s="70">
        <f>+(18532/C20)*E20</f>
        <v>5139.601191353423</v>
      </c>
      <c r="I20" s="70">
        <f>+(1319/C20)*E20</f>
        <v>365.80692701247381</v>
      </c>
      <c r="K20" s="70">
        <v>1630</v>
      </c>
    </row>
    <row r="21" spans="1:11" x14ac:dyDescent="0.2">
      <c r="A21" s="10" t="s">
        <v>42</v>
      </c>
      <c r="B21" s="75"/>
      <c r="C21" s="76">
        <v>1020</v>
      </c>
      <c r="D21" s="66">
        <f t="shared" si="3"/>
        <v>649.71428571428578</v>
      </c>
      <c r="E21" s="251">
        <f t="shared" si="4"/>
        <v>413.85162064825937</v>
      </c>
      <c r="F21" s="70">
        <f>+(298/C21)*E21</f>
        <v>120.90959113056991</v>
      </c>
      <c r="G21" s="70">
        <f>+(291/C21)*E21</f>
        <v>118.06943294965046</v>
      </c>
      <c r="H21" s="70">
        <f>+(276/C21)*E21</f>
        <v>111.98337970482312</v>
      </c>
      <c r="I21" s="70">
        <f>+(155/C21)*E21</f>
        <v>62.889216863215879</v>
      </c>
      <c r="K21" s="70">
        <v>379</v>
      </c>
    </row>
    <row r="22" spans="1:11" x14ac:dyDescent="0.2">
      <c r="A22" s="10" t="s">
        <v>43</v>
      </c>
      <c r="B22" s="75"/>
      <c r="C22" s="76">
        <v>1270</v>
      </c>
      <c r="D22" s="66">
        <f t="shared" si="3"/>
        <v>888</v>
      </c>
      <c r="E22" s="251">
        <f t="shared" si="4"/>
        <v>620.9007874015748</v>
      </c>
      <c r="F22" s="70">
        <f>+(523/C22)*E22</f>
        <v>255.69378882757766</v>
      </c>
      <c r="G22" s="70">
        <f>+(403/C22)*E22</f>
        <v>197.02599789199579</v>
      </c>
      <c r="H22" s="70">
        <f>+(368/C22)*E22</f>
        <v>179.91455886911774</v>
      </c>
      <c r="I22" s="70">
        <f>+(418/C22)*E22</f>
        <v>204.3594717589435</v>
      </c>
      <c r="K22" s="70">
        <v>518</v>
      </c>
    </row>
    <row r="23" spans="1:11" x14ac:dyDescent="0.2">
      <c r="A23" s="10" t="s">
        <v>44</v>
      </c>
      <c r="B23" s="75"/>
      <c r="C23" s="76"/>
      <c r="D23" s="66">
        <f t="shared" si="3"/>
        <v>96</v>
      </c>
      <c r="E23" s="251">
        <f t="shared" si="4"/>
        <v>0</v>
      </c>
      <c r="F23" s="70"/>
      <c r="G23" s="70"/>
      <c r="H23" s="70"/>
      <c r="I23" s="70"/>
      <c r="K23" s="70">
        <v>56</v>
      </c>
    </row>
    <row r="24" spans="1:11" x14ac:dyDescent="0.2">
      <c r="A24" s="10" t="s">
        <v>45</v>
      </c>
      <c r="B24" s="75"/>
      <c r="C24" s="76">
        <v>3831</v>
      </c>
      <c r="D24" s="66">
        <f t="shared" si="3"/>
        <v>392.57142857142856</v>
      </c>
      <c r="E24" s="251">
        <f t="shared" si="4"/>
        <v>40.227702044012588</v>
      </c>
      <c r="F24" s="70">
        <f>+(1153/C24)*E24</f>
        <v>12.107162739949494</v>
      </c>
      <c r="G24" s="70">
        <f>+(895/C24)*E24</f>
        <v>9.3980144425453584</v>
      </c>
      <c r="H24" s="70">
        <f>+(18532/C24)*E24</f>
        <v>194.5966521220677</v>
      </c>
      <c r="I24" s="70">
        <f>+(978/C24)*E24</f>
        <v>10.269562150624983</v>
      </c>
      <c r="K24" s="70">
        <v>229</v>
      </c>
    </row>
    <row r="25" spans="1:11" x14ac:dyDescent="0.2">
      <c r="A25" s="10" t="s">
        <v>46</v>
      </c>
      <c r="B25" s="75"/>
      <c r="C25" s="76">
        <v>2396</v>
      </c>
      <c r="D25" s="66">
        <f t="shared" si="3"/>
        <v>1488</v>
      </c>
      <c r="E25" s="251">
        <f t="shared" si="4"/>
        <v>924.1001669449081</v>
      </c>
      <c r="F25" s="70">
        <f>+(637/C25)*E25</f>
        <v>245.68105440062874</v>
      </c>
      <c r="G25" s="70">
        <f>+(684/C25)*E25</f>
        <v>263.80822795923086</v>
      </c>
      <c r="H25" s="70">
        <f>+(685/C25)*E25</f>
        <v>264.1939125030309</v>
      </c>
      <c r="I25" s="70">
        <f>+(390/C25)*E25</f>
        <v>150.41697208201759</v>
      </c>
      <c r="K25" s="70">
        <v>868</v>
      </c>
    </row>
    <row r="26" spans="1:11" x14ac:dyDescent="0.2">
      <c r="A26" s="10" t="s">
        <v>47</v>
      </c>
      <c r="B26" s="75"/>
      <c r="C26" s="76">
        <v>1218</v>
      </c>
      <c r="D26" s="66">
        <f t="shared" si="3"/>
        <v>716.57142857142856</v>
      </c>
      <c r="E26" s="251">
        <f t="shared" si="4"/>
        <v>421.57193123554839</v>
      </c>
      <c r="F26" s="70">
        <f>+(353/C26)*E26</f>
        <v>122.17971406087732</v>
      </c>
      <c r="G26" s="70">
        <f>+(373/C26)*E26</f>
        <v>129.10207746375991</v>
      </c>
      <c r="H26" s="70">
        <f>+(214/C26)*E26</f>
        <v>74.069288410843484</v>
      </c>
      <c r="I26" s="70">
        <f>+(278/C26)*E26</f>
        <v>96.220851300067693</v>
      </c>
      <c r="K26" s="70">
        <v>418</v>
      </c>
    </row>
    <row r="27" spans="1:11" x14ac:dyDescent="0.2">
      <c r="A27" s="10" t="s">
        <v>48</v>
      </c>
      <c r="B27" s="75"/>
      <c r="C27" s="76"/>
      <c r="D27" s="66">
        <f t="shared" si="3"/>
        <v>219.42857142857142</v>
      </c>
      <c r="E27" s="251">
        <f t="shared" si="4"/>
        <v>0</v>
      </c>
      <c r="F27" s="70"/>
      <c r="G27" s="70"/>
      <c r="H27" s="70"/>
      <c r="I27" s="70"/>
      <c r="K27" s="70">
        <v>128</v>
      </c>
    </row>
    <row r="28" spans="1:11" x14ac:dyDescent="0.2">
      <c r="A28" s="10" t="s">
        <v>49</v>
      </c>
      <c r="B28" s="75"/>
      <c r="C28" s="76"/>
      <c r="D28" s="66">
        <f t="shared" si="3"/>
        <v>0</v>
      </c>
      <c r="E28" s="251">
        <f t="shared" si="4"/>
        <v>0</v>
      </c>
      <c r="F28" s="70"/>
      <c r="G28" s="70"/>
      <c r="H28" s="70"/>
      <c r="I28" s="70"/>
      <c r="K28" s="70"/>
    </row>
    <row r="29" spans="1:11" x14ac:dyDescent="0.2">
      <c r="A29" s="10" t="s">
        <v>50</v>
      </c>
      <c r="B29" s="75"/>
      <c r="C29" s="76">
        <v>63</v>
      </c>
      <c r="D29" s="66">
        <f t="shared" si="3"/>
        <v>17.142857142857142</v>
      </c>
      <c r="E29" s="251">
        <f t="shared" si="4"/>
        <v>4.6647230320699702</v>
      </c>
      <c r="F29" s="70">
        <f>+(23251/C29)*E29</f>
        <v>1721.578971724744</v>
      </c>
      <c r="G29" s="70">
        <f>+(18978/C29)*E29</f>
        <v>1405.1922809940302</v>
      </c>
      <c r="H29" s="70">
        <f>+(18532/C29)*E29</f>
        <v>1372.1690036558841</v>
      </c>
      <c r="I29" s="70">
        <f>+(18658/C29)*E29</f>
        <v>1381.4984497200239</v>
      </c>
      <c r="K29" s="70">
        <v>10</v>
      </c>
    </row>
    <row r="30" spans="1:11" x14ac:dyDescent="0.2">
      <c r="A30" s="7" t="s">
        <v>51</v>
      </c>
      <c r="B30" s="8"/>
      <c r="C30" s="69">
        <f t="shared" ref="C30:I30" si="5">SUM(C31:C32)</f>
        <v>205594</v>
      </c>
      <c r="D30" s="67">
        <f t="shared" si="5"/>
        <v>213250.28571428571</v>
      </c>
      <c r="E30" s="67">
        <f t="shared" si="5"/>
        <v>221433.09796013901</v>
      </c>
      <c r="F30" s="67">
        <f t="shared" si="5"/>
        <v>60080.535479214159</v>
      </c>
      <c r="G30" s="67">
        <f t="shared" si="5"/>
        <v>51559.422798994587</v>
      </c>
      <c r="H30" s="67">
        <f t="shared" si="5"/>
        <v>54664.853400539891</v>
      </c>
      <c r="I30" s="67">
        <f t="shared" si="5"/>
        <v>55128.886499620712</v>
      </c>
      <c r="K30" s="67">
        <f>SUM(K31:K32)</f>
        <v>124396</v>
      </c>
    </row>
    <row r="31" spans="1:11" x14ac:dyDescent="0.2">
      <c r="A31" s="9" t="s">
        <v>52</v>
      </c>
      <c r="B31" s="9" t="s">
        <v>53</v>
      </c>
      <c r="C31" s="76">
        <v>185105</v>
      </c>
      <c r="D31" s="66">
        <f>(K31/7)*12</f>
        <v>189888</v>
      </c>
      <c r="E31" s="251">
        <f>IF(C31="",0,(D31/C31)*D31)</f>
        <v>194794.58979498121</v>
      </c>
      <c r="F31" s="70">
        <f>+(48908/185105)*194795</f>
        <v>51468.268604305667</v>
      </c>
      <c r="G31" s="70">
        <f>+(43629/C31)*E31</f>
        <v>45912.823306584025</v>
      </c>
      <c r="H31" s="70">
        <f>+(46470/C31)*E31</f>
        <v>48902.539573608366</v>
      </c>
      <c r="I31" s="70">
        <f>+(46098/C31)*E31</f>
        <v>48511.066693871282</v>
      </c>
      <c r="K31" s="70">
        <v>110768</v>
      </c>
    </row>
    <row r="32" spans="1:11" x14ac:dyDescent="0.2">
      <c r="A32" s="9" t="s">
        <v>54</v>
      </c>
      <c r="B32" s="9" t="s">
        <v>55</v>
      </c>
      <c r="C32" s="76">
        <v>20489</v>
      </c>
      <c r="D32" s="66">
        <f>(K32/7)*12</f>
        <v>23362.285714285714</v>
      </c>
      <c r="E32" s="251">
        <f>IF(C32="",0,(D32/C32)*D32)</f>
        <v>26638.508165157811</v>
      </c>
      <c r="F32" s="70">
        <f>+(6624/20489)*26639</f>
        <v>8612.2668749084878</v>
      </c>
      <c r="G32" s="70">
        <f>+(4343/20489)*26639</f>
        <v>5646.5994924105617</v>
      </c>
      <c r="H32" s="70">
        <f>+(4432/20489)*26639</f>
        <v>5762.3138269315241</v>
      </c>
      <c r="I32" s="70">
        <f>+(5090/20489)*26639</f>
        <v>6617.8198057494265</v>
      </c>
      <c r="K32" s="71">
        <v>13628</v>
      </c>
    </row>
    <row r="33" spans="1:9" x14ac:dyDescent="0.2">
      <c r="A33" s="11" t="s">
        <v>56</v>
      </c>
      <c r="B33" s="12"/>
      <c r="C33" s="12"/>
      <c r="D33" s="12"/>
      <c r="E33" s="12"/>
      <c r="F33" s="12"/>
      <c r="G33" s="12"/>
      <c r="H33" s="12"/>
      <c r="I33" s="12"/>
    </row>
    <row r="34" spans="1:9" ht="38.25" x14ac:dyDescent="0.2">
      <c r="A34" s="13" t="s">
        <v>57</v>
      </c>
      <c r="B34" s="65" t="s">
        <v>58</v>
      </c>
      <c r="C34" s="65" t="s">
        <v>59</v>
      </c>
      <c r="D34" s="65" t="s">
        <v>60</v>
      </c>
      <c r="E34" s="65" t="s">
        <v>61</v>
      </c>
      <c r="F34" s="65" t="s">
        <v>62</v>
      </c>
      <c r="G34" s="65" t="s">
        <v>63</v>
      </c>
      <c r="H34" s="65" t="s">
        <v>64</v>
      </c>
      <c r="I34" s="65" t="s">
        <v>65</v>
      </c>
    </row>
    <row r="35" spans="1:9" x14ac:dyDescent="0.2">
      <c r="A35" s="73">
        <v>2022</v>
      </c>
      <c r="B35" s="72">
        <v>33</v>
      </c>
      <c r="C35" s="72">
        <v>4288</v>
      </c>
      <c r="D35" s="388">
        <f>+B35*365</f>
        <v>12045</v>
      </c>
      <c r="E35" s="72">
        <v>8018</v>
      </c>
      <c r="F35" s="387">
        <f>+E35/C35</f>
        <v>1.8698694029850746</v>
      </c>
      <c r="G35" s="388">
        <f>+E35/D35*100</f>
        <v>66.567040265670414</v>
      </c>
      <c r="H35" s="72">
        <v>1.46</v>
      </c>
      <c r="I35" s="72">
        <v>44.71</v>
      </c>
    </row>
    <row r="36" spans="1:9" x14ac:dyDescent="0.2">
      <c r="A36" s="73">
        <v>2023</v>
      </c>
      <c r="B36" s="72">
        <v>33</v>
      </c>
      <c r="C36" s="72">
        <v>4129</v>
      </c>
      <c r="D36" s="388">
        <f>+B36*365</f>
        <v>12045</v>
      </c>
      <c r="E36" s="72">
        <v>7441</v>
      </c>
      <c r="F36" s="387">
        <f>+E36/C36</f>
        <v>1.8021312666505207</v>
      </c>
      <c r="G36" s="388">
        <f>+E36/D36*100</f>
        <v>61.776670817766707</v>
      </c>
      <c r="H36" s="72">
        <v>1.07</v>
      </c>
      <c r="I36" s="72">
        <v>46.1</v>
      </c>
    </row>
    <row r="37" spans="1:9" x14ac:dyDescent="0.2">
      <c r="A37" s="74">
        <v>2024</v>
      </c>
      <c r="B37" s="72">
        <v>34</v>
      </c>
      <c r="C37" s="72">
        <v>3252</v>
      </c>
      <c r="D37" s="388">
        <f>+B37*365</f>
        <v>12410</v>
      </c>
      <c r="E37" s="72">
        <v>7769</v>
      </c>
      <c r="F37" s="387">
        <f>+E37/C37</f>
        <v>2.3889913899138993</v>
      </c>
      <c r="G37" s="388">
        <f>+E37/D37*100</f>
        <v>62.602739726027401</v>
      </c>
      <c r="H37" s="72">
        <v>2.04</v>
      </c>
      <c r="I37" s="72">
        <v>43.4</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sheetProtection algorithmName="SHA-512" hashValue="r8wIwez0q4/rgiMFT6VE9vwM694pafDf5uCrHuEuJjXPblq/WZfDiV3WN1wq/gAZyomShJKiO0iMjLP52GQ1+w==" saltValue="r67Nvsx3UzxaNRpqInD1NA==" spinCount="100000" sheet="1" objects="1" scenarios="1"/>
  <mergeCells count="9">
    <mergeCell ref="K8:K9"/>
    <mergeCell ref="B7:I7"/>
    <mergeCell ref="C8:C9"/>
    <mergeCell ref="B6:I6"/>
    <mergeCell ref="A8:A9"/>
    <mergeCell ref="B8:B9"/>
    <mergeCell ref="D8:D9"/>
    <mergeCell ref="E8:E9"/>
    <mergeCell ref="F8:I8"/>
  </mergeCells>
  <dataValidations count="2">
    <dataValidation type="list" allowBlank="1" showInputMessage="1" showErrorMessage="1" sqref="B6:I6">
      <formula1>$K$4:$T$4</formula1>
    </dataValidation>
    <dataValidation type="list" allowBlank="1" showInputMessage="1" showErrorMessage="1" sqref="C5">
      <formula1>$K$3:$N$3</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314"/>
  <sheetViews>
    <sheetView showGridLines="0" tabSelected="1" topLeftCell="C1" zoomScale="80" zoomScaleNormal="80" zoomScaleSheetLayoutView="80" workbookViewId="0">
      <pane ySplit="8" topLeftCell="A9" activePane="bottomLeft" state="frozen"/>
      <selection pane="bottomLeft" activeCell="V2" sqref="V2"/>
    </sheetView>
  </sheetViews>
  <sheetFormatPr baseColWidth="10" defaultColWidth="9.140625" defaultRowHeight="15" x14ac:dyDescent="0.25"/>
  <cols>
    <col min="1" max="1" width="24.7109375" style="419" customWidth="1"/>
    <col min="2" max="2" width="35.7109375" style="455" customWidth="1"/>
    <col min="3" max="3" width="12.7109375" style="449" customWidth="1"/>
    <col min="4" max="4" width="33.140625" style="449" customWidth="1"/>
    <col min="5" max="10" width="5.42578125" style="450" customWidth="1"/>
    <col min="11" max="11" width="5.42578125" style="442" customWidth="1"/>
    <col min="12" max="16" width="5.42578125" style="416" customWidth="1"/>
    <col min="17" max="17" width="9.140625" style="398"/>
    <col min="18" max="18" width="14.5703125" style="398" customWidth="1"/>
    <col min="19" max="19" width="12.28515625" style="398" customWidth="1"/>
    <col min="20" max="20" width="19.7109375" style="398" customWidth="1"/>
    <col min="21" max="21" width="28" style="457" customWidth="1"/>
    <col min="22" max="22" width="21.7109375" style="393" customWidth="1"/>
    <col min="23" max="23" width="17" style="392" customWidth="1"/>
    <col min="24" max="28" width="9.140625" style="390"/>
    <col min="29" max="31" width="9.140625" style="249"/>
    <col min="32" max="66" width="9.140625" style="273"/>
    <col min="67" max="81" width="9.140625" style="250"/>
    <col min="82" max="16384" width="9.140625" style="418"/>
  </cols>
  <sheetData>
    <row r="1" spans="1:81" s="249" customFormat="1" x14ac:dyDescent="0.25">
      <c r="A1" s="503" t="s">
        <v>0</v>
      </c>
      <c r="B1" s="503"/>
      <c r="C1" s="504"/>
      <c r="D1" s="504"/>
      <c r="E1" s="505"/>
      <c r="F1" s="505"/>
      <c r="G1" s="505"/>
      <c r="H1" s="505"/>
      <c r="I1" s="505"/>
      <c r="J1" s="505"/>
      <c r="K1" s="416"/>
      <c r="L1" s="416"/>
      <c r="M1" s="416"/>
      <c r="N1" s="416"/>
      <c r="O1" s="416"/>
      <c r="P1" s="416"/>
      <c r="Q1" s="398"/>
      <c r="R1" s="398"/>
      <c r="S1" s="398"/>
      <c r="T1" s="398"/>
      <c r="U1" s="456"/>
      <c r="V1" s="391"/>
      <c r="W1" s="392"/>
      <c r="X1" s="390"/>
      <c r="Y1" s="390"/>
      <c r="Z1" s="390"/>
      <c r="AA1" s="390"/>
      <c r="AB1" s="390"/>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273"/>
    </row>
    <row r="2" spans="1:81" s="249" customFormat="1" x14ac:dyDescent="0.25">
      <c r="A2" s="503" t="s">
        <v>1</v>
      </c>
      <c r="B2" s="503"/>
      <c r="C2" s="504"/>
      <c r="D2" s="504"/>
      <c r="E2" s="505"/>
      <c r="F2" s="505"/>
      <c r="G2" s="505"/>
      <c r="H2" s="505"/>
      <c r="I2" s="505"/>
      <c r="J2" s="505"/>
      <c r="K2" s="416"/>
      <c r="L2" s="416"/>
      <c r="M2" s="416"/>
      <c r="N2" s="416"/>
      <c r="O2" s="416"/>
      <c r="P2" s="416"/>
      <c r="Q2" s="398"/>
      <c r="R2" s="398"/>
      <c r="S2" s="398"/>
      <c r="T2" s="398"/>
      <c r="U2" s="456"/>
      <c r="V2" s="391"/>
      <c r="W2" s="392"/>
      <c r="X2" s="390"/>
      <c r="Y2" s="390"/>
      <c r="Z2" s="390"/>
      <c r="AA2" s="390"/>
      <c r="AB2" s="390"/>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row>
    <row r="3" spans="1:81" s="249" customFormat="1" x14ac:dyDescent="0.25">
      <c r="A3" s="503" t="s">
        <v>2</v>
      </c>
      <c r="B3" s="503"/>
      <c r="C3" s="504"/>
      <c r="D3" s="504"/>
      <c r="E3" s="505"/>
      <c r="F3" s="505"/>
      <c r="G3" s="505"/>
      <c r="H3" s="505"/>
      <c r="I3" s="505"/>
      <c r="J3" s="505"/>
      <c r="K3" s="442" t="s">
        <v>66</v>
      </c>
      <c r="L3" s="416"/>
      <c r="M3" s="416"/>
      <c r="N3" s="416"/>
      <c r="O3" s="416"/>
      <c r="P3" s="416"/>
      <c r="Q3" s="398"/>
      <c r="R3" s="398"/>
      <c r="S3" s="398"/>
      <c r="T3" s="398"/>
      <c r="U3" s="456"/>
      <c r="V3" s="391"/>
      <c r="W3" s="392"/>
      <c r="X3" s="390"/>
      <c r="Y3" s="390"/>
      <c r="Z3" s="390"/>
      <c r="AA3" s="390"/>
      <c r="AB3" s="390"/>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row>
    <row r="4" spans="1:81" s="249" customFormat="1" x14ac:dyDescent="0.25">
      <c r="A4" s="503" t="s">
        <v>67</v>
      </c>
      <c r="B4" s="503"/>
      <c r="C4" s="504"/>
      <c r="D4" s="504"/>
      <c r="E4" s="505"/>
      <c r="F4" s="505"/>
      <c r="G4" s="505"/>
      <c r="H4" s="505"/>
      <c r="I4" s="505"/>
      <c r="J4" s="505"/>
      <c r="K4" s="442" t="s">
        <v>68</v>
      </c>
      <c r="L4" s="416"/>
      <c r="M4" s="416"/>
      <c r="N4" s="416"/>
      <c r="O4" s="416"/>
      <c r="P4" s="416"/>
      <c r="Q4" s="398"/>
      <c r="R4" s="398"/>
      <c r="S4" s="398"/>
      <c r="T4" s="398"/>
      <c r="U4" s="456"/>
      <c r="V4" s="391"/>
      <c r="W4" s="392"/>
      <c r="X4" s="390"/>
      <c r="Y4" s="390"/>
      <c r="Z4" s="390"/>
      <c r="AA4" s="390"/>
      <c r="AB4" s="390"/>
      <c r="AF4" s="273"/>
      <c r="AG4" s="273"/>
      <c r="AH4" s="273"/>
      <c r="AI4" s="273"/>
      <c r="AJ4" s="273"/>
      <c r="AK4" s="273"/>
      <c r="AL4" s="273"/>
      <c r="AM4" s="273"/>
      <c r="AN4" s="273"/>
      <c r="AO4" s="273"/>
      <c r="AP4" s="273"/>
      <c r="AQ4" s="273"/>
      <c r="AR4" s="273"/>
      <c r="AS4" s="273"/>
      <c r="AT4" s="273"/>
      <c r="AU4" s="273"/>
      <c r="AV4" s="273"/>
      <c r="AW4" s="273"/>
      <c r="AX4" s="273"/>
      <c r="AY4" s="273"/>
      <c r="AZ4" s="273"/>
      <c r="BA4" s="273"/>
      <c r="BB4" s="273"/>
      <c r="BC4" s="273"/>
      <c r="BD4" s="273"/>
      <c r="BE4" s="273"/>
      <c r="BF4" s="273"/>
      <c r="BG4" s="273"/>
      <c r="BH4" s="273"/>
      <c r="BI4" s="273"/>
      <c r="BJ4" s="273"/>
      <c r="BK4" s="273"/>
      <c r="BL4" s="273"/>
      <c r="BM4" s="273"/>
      <c r="BN4" s="273"/>
    </row>
    <row r="5" spans="1:81" s="249" customFormat="1" x14ac:dyDescent="0.25">
      <c r="A5" s="503">
        <v>2026</v>
      </c>
      <c r="B5" s="503"/>
      <c r="C5" s="504"/>
      <c r="D5" s="504"/>
      <c r="E5" s="505"/>
      <c r="F5" s="505"/>
      <c r="G5" s="505"/>
      <c r="H5" s="505"/>
      <c r="I5" s="505"/>
      <c r="J5" s="505"/>
      <c r="K5" s="442" t="s">
        <v>69</v>
      </c>
      <c r="L5" s="443"/>
      <c r="M5" s="416"/>
      <c r="N5" s="416"/>
      <c r="O5" s="416"/>
      <c r="P5" s="416"/>
      <c r="Q5" s="398"/>
      <c r="R5" s="398"/>
      <c r="S5" s="398"/>
      <c r="T5" s="398"/>
      <c r="U5" s="456"/>
      <c r="V5" s="391"/>
      <c r="W5" s="392"/>
      <c r="X5" s="390"/>
      <c r="Y5" s="390"/>
      <c r="Z5" s="390"/>
      <c r="AA5" s="390"/>
      <c r="AB5" s="390"/>
      <c r="AF5" s="273"/>
      <c r="AG5" s="273"/>
      <c r="AH5" s="273"/>
      <c r="AI5" s="273"/>
      <c r="AJ5" s="273"/>
      <c r="AK5" s="273"/>
      <c r="AL5" s="273"/>
      <c r="AM5" s="273"/>
      <c r="AN5" s="273"/>
      <c r="AO5" s="273"/>
      <c r="AP5" s="273"/>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row>
    <row r="6" spans="1:81" x14ac:dyDescent="0.25">
      <c r="A6" s="420" t="s">
        <v>15</v>
      </c>
      <c r="B6" s="506" t="s">
        <v>70</v>
      </c>
      <c r="C6" s="507"/>
      <c r="D6" s="507"/>
      <c r="E6" s="508"/>
      <c r="F6" s="508"/>
      <c r="G6" s="508"/>
      <c r="H6" s="508"/>
      <c r="I6" s="508"/>
      <c r="J6" s="508"/>
      <c r="K6" s="442" t="s">
        <v>71</v>
      </c>
    </row>
    <row r="7" spans="1:81" s="249" customFormat="1" x14ac:dyDescent="0.25">
      <c r="A7" s="421" t="s">
        <v>72</v>
      </c>
      <c r="B7" s="500" t="s">
        <v>73</v>
      </c>
      <c r="C7" s="501"/>
      <c r="D7" s="501"/>
      <c r="E7" s="502"/>
      <c r="F7" s="502"/>
      <c r="G7" s="502"/>
      <c r="H7" s="502"/>
      <c r="I7" s="502"/>
      <c r="J7" s="502"/>
      <c r="K7" s="442"/>
      <c r="L7" s="443"/>
      <c r="M7" s="416"/>
      <c r="N7" s="416"/>
      <c r="O7" s="416"/>
      <c r="P7" s="416"/>
      <c r="Q7" s="398"/>
      <c r="R7" s="398"/>
      <c r="S7" s="398"/>
      <c r="T7" s="398"/>
      <c r="U7" s="457"/>
      <c r="V7" s="393"/>
      <c r="W7" s="392"/>
      <c r="X7" s="390"/>
      <c r="Y7" s="390"/>
      <c r="Z7" s="390"/>
      <c r="AA7" s="390"/>
      <c r="AB7" s="390"/>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c r="BG7" s="273"/>
      <c r="BH7" s="273"/>
      <c r="BI7" s="273"/>
      <c r="BJ7" s="273"/>
      <c r="BK7" s="273"/>
      <c r="BL7" s="273"/>
      <c r="BM7" s="273"/>
      <c r="BN7" s="273"/>
      <c r="BO7" s="250"/>
      <c r="BP7" s="250"/>
      <c r="BQ7" s="250"/>
      <c r="BR7" s="250"/>
      <c r="BS7" s="250"/>
      <c r="BT7" s="250"/>
      <c r="BU7" s="250"/>
      <c r="BV7" s="250"/>
      <c r="BW7" s="250"/>
      <c r="BX7" s="250"/>
      <c r="BY7" s="250"/>
      <c r="BZ7" s="250"/>
      <c r="CA7" s="250"/>
      <c r="CB7" s="250"/>
      <c r="CC7" s="250"/>
    </row>
    <row r="8" spans="1:81" s="252" customFormat="1" ht="45" x14ac:dyDescent="0.25">
      <c r="A8" s="422" t="s">
        <v>74</v>
      </c>
      <c r="B8" s="422" t="s">
        <v>75</v>
      </c>
      <c r="C8" s="422" t="s">
        <v>76</v>
      </c>
      <c r="D8" s="422" t="s">
        <v>77</v>
      </c>
      <c r="E8" s="422" t="s">
        <v>78</v>
      </c>
      <c r="F8" s="422" t="s">
        <v>79</v>
      </c>
      <c r="G8" s="422" t="s">
        <v>80</v>
      </c>
      <c r="H8" s="422" t="s">
        <v>81</v>
      </c>
      <c r="I8" s="422" t="s">
        <v>82</v>
      </c>
      <c r="J8" s="422" t="s">
        <v>83</v>
      </c>
      <c r="K8" s="422" t="s">
        <v>84</v>
      </c>
      <c r="L8" s="422" t="s">
        <v>85</v>
      </c>
      <c r="M8" s="422" t="s">
        <v>86</v>
      </c>
      <c r="N8" s="422" t="s">
        <v>87</v>
      </c>
      <c r="O8" s="422" t="s">
        <v>88</v>
      </c>
      <c r="P8" s="422" t="s">
        <v>89</v>
      </c>
      <c r="Q8" s="422" t="s">
        <v>90</v>
      </c>
      <c r="R8" s="422" t="s">
        <v>91</v>
      </c>
      <c r="S8" s="422" t="s">
        <v>92</v>
      </c>
      <c r="T8" s="422" t="s">
        <v>93</v>
      </c>
      <c r="U8" s="422" t="s">
        <v>94</v>
      </c>
      <c r="V8" s="422" t="s">
        <v>95</v>
      </c>
      <c r="W8" s="410" t="s">
        <v>96</v>
      </c>
      <c r="X8" s="395"/>
      <c r="Y8" s="395"/>
      <c r="Z8" s="395"/>
      <c r="AA8" s="395"/>
      <c r="AB8" s="395"/>
      <c r="AC8" s="253"/>
      <c r="AD8" s="253"/>
      <c r="AE8" s="253"/>
      <c r="AF8" s="274"/>
      <c r="AG8" s="274"/>
      <c r="AH8" s="274"/>
      <c r="AI8" s="274"/>
      <c r="AJ8" s="274"/>
      <c r="AK8" s="274"/>
      <c r="AL8" s="274"/>
      <c r="AM8" s="274"/>
      <c r="AN8" s="274"/>
      <c r="AO8" s="274"/>
      <c r="AP8" s="274"/>
      <c r="AQ8" s="274"/>
      <c r="AR8" s="274"/>
      <c r="AS8" s="274"/>
      <c r="AT8" s="274"/>
      <c r="AU8" s="274"/>
      <c r="AV8" s="274"/>
      <c r="AW8" s="274"/>
      <c r="AX8" s="274"/>
      <c r="AY8" s="274"/>
      <c r="AZ8" s="274"/>
      <c r="BA8" s="274"/>
      <c r="BB8" s="274"/>
      <c r="BC8" s="274"/>
      <c r="BD8" s="274"/>
      <c r="BE8" s="274"/>
      <c r="BF8" s="274"/>
      <c r="BG8" s="274"/>
      <c r="BH8" s="274"/>
      <c r="BI8" s="274"/>
      <c r="BJ8" s="274"/>
      <c r="BK8" s="274"/>
      <c r="BL8" s="274"/>
      <c r="BM8" s="274"/>
      <c r="BN8" s="274"/>
    </row>
    <row r="9" spans="1:81" s="252" customFormat="1" ht="230.25" x14ac:dyDescent="0.25">
      <c r="A9" s="462" t="s">
        <v>97</v>
      </c>
      <c r="B9" s="463" t="s">
        <v>98</v>
      </c>
      <c r="C9" s="483" t="s">
        <v>1492</v>
      </c>
      <c r="D9" s="484" t="s">
        <v>1493</v>
      </c>
      <c r="E9" s="485">
        <v>1</v>
      </c>
      <c r="F9" s="485"/>
      <c r="G9" s="485"/>
      <c r="H9" s="485">
        <v>1</v>
      </c>
      <c r="I9" s="485"/>
      <c r="J9" s="485"/>
      <c r="K9" s="485">
        <v>1</v>
      </c>
      <c r="L9" s="485"/>
      <c r="M9" s="481"/>
      <c r="N9" s="482">
        <v>1</v>
      </c>
      <c r="O9" s="481"/>
      <c r="P9" s="481"/>
      <c r="Q9" s="486">
        <f>SUM(E9:P9)</f>
        <v>4</v>
      </c>
      <c r="R9" s="487" t="s">
        <v>1494</v>
      </c>
      <c r="S9" s="488"/>
      <c r="T9" s="488"/>
      <c r="U9" s="490" t="s">
        <v>1495</v>
      </c>
      <c r="V9" s="425" t="s">
        <v>103</v>
      </c>
      <c r="W9" s="489"/>
      <c r="X9" s="395"/>
      <c r="Y9" s="395"/>
      <c r="Z9" s="395"/>
      <c r="AA9" s="395"/>
      <c r="AB9" s="395"/>
      <c r="AC9" s="253"/>
      <c r="AD9" s="253"/>
      <c r="AE9" s="253"/>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4"/>
      <c r="BL9" s="274"/>
      <c r="BM9" s="274"/>
      <c r="BN9" s="274"/>
    </row>
    <row r="10" spans="1:81" s="413" customFormat="1" ht="210" x14ac:dyDescent="0.2">
      <c r="A10" s="462" t="s">
        <v>97</v>
      </c>
      <c r="B10" s="463" t="s">
        <v>98</v>
      </c>
      <c r="C10" s="464" t="s">
        <v>99</v>
      </c>
      <c r="D10" s="463" t="s">
        <v>100</v>
      </c>
      <c r="E10" s="465">
        <v>1</v>
      </c>
      <c r="F10" s="465">
        <v>1</v>
      </c>
      <c r="G10" s="465">
        <v>1</v>
      </c>
      <c r="H10" s="465">
        <v>1</v>
      </c>
      <c r="I10" s="465">
        <v>1</v>
      </c>
      <c r="J10" s="465">
        <v>1</v>
      </c>
      <c r="K10" s="465">
        <v>1</v>
      </c>
      <c r="L10" s="465">
        <v>1</v>
      </c>
      <c r="M10" s="465">
        <v>1</v>
      </c>
      <c r="N10" s="465">
        <v>1</v>
      </c>
      <c r="O10" s="465">
        <v>1</v>
      </c>
      <c r="P10" s="465">
        <v>1</v>
      </c>
      <c r="Q10" s="423">
        <f t="shared" ref="Q10:Q11" si="0">SUM(E10:P10)</f>
        <v>12</v>
      </c>
      <c r="R10" s="424"/>
      <c r="S10" s="424"/>
      <c r="T10" s="440" t="s">
        <v>101</v>
      </c>
      <c r="U10" s="458" t="s">
        <v>102</v>
      </c>
      <c r="V10" s="425" t="s">
        <v>103</v>
      </c>
      <c r="W10" s="426"/>
      <c r="X10" s="415"/>
      <c r="Y10" s="415"/>
      <c r="Z10" s="415"/>
      <c r="AA10" s="415"/>
      <c r="AB10" s="415"/>
      <c r="AC10" s="427"/>
      <c r="AD10" s="427"/>
      <c r="AE10" s="427"/>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28"/>
      <c r="BC10" s="428"/>
      <c r="BD10" s="428"/>
      <c r="BE10" s="428"/>
      <c r="BF10" s="428"/>
      <c r="BG10" s="428"/>
      <c r="BH10" s="428"/>
      <c r="BI10" s="428"/>
      <c r="BJ10" s="428"/>
      <c r="BK10" s="428"/>
      <c r="BL10" s="428"/>
      <c r="BM10" s="428"/>
      <c r="BN10" s="428"/>
    </row>
    <row r="11" spans="1:81" s="413" customFormat="1" ht="210" x14ac:dyDescent="0.2">
      <c r="A11" s="462" t="s">
        <v>97</v>
      </c>
      <c r="B11" s="463" t="s">
        <v>104</v>
      </c>
      <c r="C11" s="464" t="s">
        <v>105</v>
      </c>
      <c r="D11" s="463" t="s">
        <v>106</v>
      </c>
      <c r="E11" s="465">
        <v>1</v>
      </c>
      <c r="F11" s="465">
        <v>1</v>
      </c>
      <c r="G11" s="465">
        <v>1</v>
      </c>
      <c r="H11" s="465">
        <v>1</v>
      </c>
      <c r="I11" s="465">
        <v>1</v>
      </c>
      <c r="J11" s="465">
        <v>1</v>
      </c>
      <c r="K11" s="465">
        <v>1</v>
      </c>
      <c r="L11" s="465">
        <v>1</v>
      </c>
      <c r="M11" s="465">
        <v>1</v>
      </c>
      <c r="N11" s="465">
        <v>1</v>
      </c>
      <c r="O11" s="465">
        <v>1</v>
      </c>
      <c r="P11" s="465">
        <v>1</v>
      </c>
      <c r="Q11" s="423">
        <f t="shared" si="0"/>
        <v>12</v>
      </c>
      <c r="R11" s="424" t="s">
        <v>101</v>
      </c>
      <c r="S11" s="424"/>
      <c r="T11" s="424"/>
      <c r="U11" s="462" t="s">
        <v>107</v>
      </c>
      <c r="V11" s="425" t="s">
        <v>103</v>
      </c>
      <c r="W11" s="426"/>
      <c r="X11" s="415"/>
      <c r="Y11" s="415"/>
      <c r="Z11" s="415"/>
      <c r="AA11" s="415"/>
      <c r="AB11" s="415"/>
      <c r="AC11" s="427"/>
      <c r="AD11" s="427"/>
      <c r="AE11" s="427"/>
      <c r="AF11" s="428"/>
      <c r="AG11" s="428"/>
      <c r="AH11" s="428"/>
      <c r="AI11" s="428"/>
      <c r="AJ11" s="428"/>
      <c r="AK11" s="428"/>
      <c r="AL11" s="428"/>
      <c r="AM11" s="428"/>
      <c r="AN11" s="428"/>
      <c r="AO11" s="428"/>
      <c r="AP11" s="428"/>
      <c r="AQ11" s="428"/>
      <c r="AR11" s="428"/>
      <c r="AS11" s="428"/>
      <c r="AT11" s="428"/>
      <c r="AU11" s="428"/>
      <c r="AV11" s="428"/>
      <c r="AW11" s="428"/>
      <c r="AX11" s="428"/>
      <c r="AY11" s="428"/>
      <c r="AZ11" s="428"/>
      <c r="BA11" s="428"/>
      <c r="BB11" s="428"/>
      <c r="BC11" s="428"/>
      <c r="BD11" s="428"/>
      <c r="BE11" s="428"/>
      <c r="BF11" s="428"/>
      <c r="BG11" s="428"/>
      <c r="BH11" s="428"/>
      <c r="BI11" s="428"/>
      <c r="BJ11" s="428"/>
      <c r="BK11" s="428"/>
      <c r="BL11" s="428"/>
      <c r="BM11" s="428"/>
      <c r="BN11" s="428"/>
    </row>
    <row r="12" spans="1:81" s="413" customFormat="1" ht="165" x14ac:dyDescent="0.2">
      <c r="A12" s="462" t="s">
        <v>108</v>
      </c>
      <c r="B12" s="463" t="s">
        <v>109</v>
      </c>
      <c r="C12" s="464" t="s">
        <v>110</v>
      </c>
      <c r="D12" s="463" t="s">
        <v>111</v>
      </c>
      <c r="E12" s="465"/>
      <c r="F12" s="465">
        <v>1</v>
      </c>
      <c r="G12" s="465">
        <v>1</v>
      </c>
      <c r="H12" s="465">
        <v>1</v>
      </c>
      <c r="I12" s="465">
        <v>1</v>
      </c>
      <c r="J12" s="465">
        <v>1</v>
      </c>
      <c r="K12" s="465">
        <v>1</v>
      </c>
      <c r="L12" s="465">
        <v>1</v>
      </c>
      <c r="M12" s="465">
        <v>1</v>
      </c>
      <c r="N12" s="465">
        <v>1</v>
      </c>
      <c r="O12" s="465">
        <v>1</v>
      </c>
      <c r="P12" s="465"/>
      <c r="Q12" s="423">
        <f t="shared" ref="Q12:Q101" si="1">SUM(E12:P12)</f>
        <v>10</v>
      </c>
      <c r="R12" s="424" t="s">
        <v>112</v>
      </c>
      <c r="S12" s="424"/>
      <c r="T12" s="424"/>
      <c r="U12" s="462" t="s">
        <v>113</v>
      </c>
      <c r="V12" s="425" t="s">
        <v>103</v>
      </c>
      <c r="W12" s="426"/>
      <c r="X12" s="415"/>
      <c r="Y12" s="415"/>
      <c r="Z12" s="415"/>
      <c r="AA12" s="415"/>
      <c r="AB12" s="415"/>
      <c r="AC12" s="427"/>
      <c r="AD12" s="427"/>
      <c r="AE12" s="427"/>
      <c r="AF12" s="428"/>
      <c r="AG12" s="428"/>
      <c r="AH12" s="428"/>
      <c r="AI12" s="428"/>
      <c r="AJ12" s="428"/>
      <c r="AK12" s="428"/>
      <c r="AL12" s="428"/>
      <c r="AM12" s="428"/>
      <c r="AN12" s="428"/>
      <c r="AO12" s="428"/>
      <c r="AP12" s="428"/>
      <c r="AQ12" s="428"/>
      <c r="AR12" s="428"/>
      <c r="AS12" s="428"/>
      <c r="AT12" s="428"/>
      <c r="AU12" s="428"/>
      <c r="AV12" s="428"/>
      <c r="AW12" s="428"/>
      <c r="AX12" s="428"/>
      <c r="AY12" s="428"/>
      <c r="AZ12" s="428"/>
      <c r="BA12" s="428"/>
      <c r="BB12" s="428"/>
      <c r="BC12" s="428"/>
      <c r="BD12" s="428"/>
      <c r="BE12" s="428"/>
      <c r="BF12" s="428"/>
      <c r="BG12" s="428"/>
      <c r="BH12" s="428"/>
      <c r="BI12" s="428"/>
      <c r="BJ12" s="428"/>
      <c r="BK12" s="428"/>
      <c r="BL12" s="428"/>
      <c r="BM12" s="428"/>
      <c r="BN12" s="428"/>
    </row>
    <row r="13" spans="1:81" s="413" customFormat="1" ht="165" x14ac:dyDescent="0.2">
      <c r="A13" s="462" t="s">
        <v>108</v>
      </c>
      <c r="B13" s="463" t="s">
        <v>109</v>
      </c>
      <c r="C13" s="464" t="s">
        <v>114</v>
      </c>
      <c r="D13" s="463" t="s">
        <v>115</v>
      </c>
      <c r="E13" s="465"/>
      <c r="F13" s="465"/>
      <c r="G13" s="465">
        <v>1</v>
      </c>
      <c r="H13" s="465"/>
      <c r="I13" s="465"/>
      <c r="J13" s="465">
        <v>1</v>
      </c>
      <c r="K13" s="465"/>
      <c r="L13" s="465"/>
      <c r="M13" s="465">
        <v>1</v>
      </c>
      <c r="N13" s="465"/>
      <c r="O13" s="465"/>
      <c r="P13" s="465">
        <v>1</v>
      </c>
      <c r="Q13" s="423">
        <f t="shared" si="1"/>
        <v>4</v>
      </c>
      <c r="R13" s="424" t="s">
        <v>112</v>
      </c>
      <c r="S13" s="424"/>
      <c r="T13" s="424" t="s">
        <v>116</v>
      </c>
      <c r="U13" s="462" t="s">
        <v>117</v>
      </c>
      <c r="V13" s="425" t="s">
        <v>103</v>
      </c>
      <c r="W13" s="426"/>
      <c r="X13" s="415"/>
      <c r="Y13" s="415"/>
      <c r="Z13" s="415"/>
      <c r="AA13" s="415"/>
      <c r="AB13" s="415"/>
      <c r="AC13" s="427"/>
      <c r="AD13" s="427"/>
      <c r="AE13" s="427"/>
      <c r="AF13" s="428"/>
      <c r="AG13" s="428"/>
      <c r="AH13" s="428"/>
      <c r="AI13" s="428"/>
      <c r="AJ13" s="428"/>
      <c r="AK13" s="428"/>
      <c r="AL13" s="428"/>
      <c r="AM13" s="428"/>
      <c r="AN13" s="428"/>
      <c r="AO13" s="428"/>
      <c r="AP13" s="428"/>
      <c r="AQ13" s="428"/>
      <c r="AR13" s="428"/>
      <c r="AS13" s="428"/>
      <c r="AT13" s="428"/>
      <c r="AU13" s="428"/>
      <c r="AV13" s="428"/>
      <c r="AW13" s="428"/>
      <c r="AX13" s="428"/>
      <c r="AY13" s="428"/>
      <c r="AZ13" s="428"/>
      <c r="BA13" s="428"/>
      <c r="BB13" s="428"/>
      <c r="BC13" s="428"/>
      <c r="BD13" s="428"/>
      <c r="BE13" s="428"/>
      <c r="BF13" s="428"/>
      <c r="BG13" s="428"/>
      <c r="BH13" s="428"/>
      <c r="BI13" s="428"/>
      <c r="BJ13" s="428"/>
      <c r="BK13" s="428"/>
      <c r="BL13" s="428"/>
      <c r="BM13" s="428"/>
      <c r="BN13" s="428"/>
    </row>
    <row r="14" spans="1:81" s="413" customFormat="1" ht="165" x14ac:dyDescent="0.2">
      <c r="A14" s="462" t="s">
        <v>108</v>
      </c>
      <c r="B14" s="463" t="s">
        <v>109</v>
      </c>
      <c r="C14" s="464" t="s">
        <v>118</v>
      </c>
      <c r="D14" s="463" t="s">
        <v>119</v>
      </c>
      <c r="E14" s="465"/>
      <c r="F14" s="465"/>
      <c r="G14" s="465">
        <v>1</v>
      </c>
      <c r="H14" s="465"/>
      <c r="I14" s="465"/>
      <c r="J14" s="465">
        <v>1</v>
      </c>
      <c r="K14" s="465"/>
      <c r="L14" s="465"/>
      <c r="M14" s="465">
        <v>1</v>
      </c>
      <c r="N14" s="465"/>
      <c r="O14" s="465"/>
      <c r="P14" s="465">
        <v>1</v>
      </c>
      <c r="Q14" s="423">
        <f>SUM(E14:P14)</f>
        <v>4</v>
      </c>
      <c r="R14" s="424" t="s">
        <v>112</v>
      </c>
      <c r="S14" s="424" t="s">
        <v>120</v>
      </c>
      <c r="T14" s="424"/>
      <c r="U14" s="462" t="s">
        <v>121</v>
      </c>
      <c r="V14" s="425" t="s">
        <v>103</v>
      </c>
      <c r="W14" s="426"/>
      <c r="X14" s="415"/>
      <c r="Y14" s="415"/>
      <c r="Z14" s="415"/>
      <c r="AA14" s="415"/>
      <c r="AB14" s="415"/>
      <c r="AC14" s="427"/>
      <c r="AD14" s="427"/>
      <c r="AE14" s="427"/>
      <c r="AF14" s="428"/>
      <c r="AG14" s="428"/>
      <c r="AH14" s="428"/>
      <c r="AI14" s="428"/>
      <c r="AJ14" s="428"/>
      <c r="AK14" s="428"/>
      <c r="AL14" s="428"/>
      <c r="AM14" s="428"/>
      <c r="AN14" s="428"/>
      <c r="AO14" s="428"/>
      <c r="AP14" s="428"/>
      <c r="AQ14" s="428"/>
      <c r="AR14" s="428"/>
      <c r="AS14" s="428"/>
      <c r="AT14" s="428"/>
      <c r="AU14" s="428"/>
      <c r="AV14" s="428"/>
      <c r="AW14" s="428"/>
      <c r="AX14" s="428"/>
      <c r="AY14" s="428"/>
      <c r="AZ14" s="428"/>
      <c r="BA14" s="428"/>
      <c r="BB14" s="428"/>
      <c r="BC14" s="428"/>
      <c r="BD14" s="428"/>
      <c r="BE14" s="428"/>
      <c r="BF14" s="428"/>
      <c r="BG14" s="428"/>
      <c r="BH14" s="428"/>
      <c r="BI14" s="428"/>
      <c r="BJ14" s="428"/>
      <c r="BK14" s="428"/>
      <c r="BL14" s="428"/>
      <c r="BM14" s="428"/>
      <c r="BN14" s="428"/>
    </row>
    <row r="15" spans="1:81" s="413" customFormat="1" ht="255" x14ac:dyDescent="0.2">
      <c r="A15" s="462" t="s">
        <v>108</v>
      </c>
      <c r="B15" s="463" t="s">
        <v>109</v>
      </c>
      <c r="C15" s="464" t="s">
        <v>1489</v>
      </c>
      <c r="D15" s="477" t="s">
        <v>1486</v>
      </c>
      <c r="E15" s="480"/>
      <c r="F15" s="480"/>
      <c r="G15" s="480"/>
      <c r="H15" s="480"/>
      <c r="I15" s="480">
        <v>1</v>
      </c>
      <c r="J15" s="480"/>
      <c r="K15" s="480"/>
      <c r="L15" s="480"/>
      <c r="M15" s="481"/>
      <c r="N15" s="482">
        <v>1</v>
      </c>
      <c r="O15" s="481"/>
      <c r="P15" s="481"/>
      <c r="Q15" s="423"/>
      <c r="R15" s="479" t="s">
        <v>1490</v>
      </c>
      <c r="S15" s="424"/>
      <c r="T15" s="424"/>
      <c r="U15" s="479" t="s">
        <v>1491</v>
      </c>
      <c r="V15" s="425" t="s">
        <v>103</v>
      </c>
      <c r="W15" s="426"/>
      <c r="X15" s="415"/>
      <c r="Y15" s="415"/>
      <c r="Z15" s="415"/>
      <c r="AA15" s="415"/>
      <c r="AB15" s="415"/>
      <c r="AC15" s="427"/>
      <c r="AD15" s="427"/>
      <c r="AE15" s="427"/>
      <c r="AF15" s="428"/>
      <c r="AG15" s="428"/>
      <c r="AH15" s="428"/>
      <c r="AI15" s="428"/>
      <c r="AJ15" s="428"/>
      <c r="AK15" s="428"/>
      <c r="AL15" s="428"/>
      <c r="AM15" s="428"/>
      <c r="AN15" s="428"/>
      <c r="AO15" s="428"/>
      <c r="AP15" s="428"/>
      <c r="AQ15" s="428"/>
      <c r="AR15" s="428"/>
      <c r="AS15" s="428"/>
      <c r="AT15" s="428"/>
      <c r="AU15" s="428"/>
      <c r="AV15" s="428"/>
      <c r="AW15" s="428"/>
      <c r="AX15" s="428"/>
      <c r="AY15" s="428"/>
      <c r="AZ15" s="428"/>
      <c r="BA15" s="428"/>
      <c r="BB15" s="428"/>
      <c r="BC15" s="428"/>
      <c r="BD15" s="428"/>
      <c r="BE15" s="428"/>
      <c r="BF15" s="428"/>
      <c r="BG15" s="428"/>
      <c r="BH15" s="428"/>
      <c r="BI15" s="428"/>
      <c r="BJ15" s="428"/>
      <c r="BK15" s="428"/>
      <c r="BL15" s="428"/>
      <c r="BM15" s="428"/>
      <c r="BN15" s="428"/>
    </row>
    <row r="16" spans="1:81" s="413" customFormat="1" ht="255" x14ac:dyDescent="0.2">
      <c r="A16" s="462" t="s">
        <v>108</v>
      </c>
      <c r="B16" s="463" t="s">
        <v>109</v>
      </c>
      <c r="C16" s="464" t="s">
        <v>548</v>
      </c>
      <c r="D16" s="478" t="s">
        <v>1487</v>
      </c>
      <c r="E16" s="480"/>
      <c r="F16" s="480"/>
      <c r="G16" s="480"/>
      <c r="H16" s="480">
        <v>1</v>
      </c>
      <c r="I16" s="480"/>
      <c r="J16" s="480"/>
      <c r="K16" s="480"/>
      <c r="L16" s="480">
        <v>1</v>
      </c>
      <c r="M16" s="481"/>
      <c r="N16" s="481"/>
      <c r="O16" s="481">
        <v>1</v>
      </c>
      <c r="P16" s="481"/>
      <c r="Q16" s="423"/>
      <c r="R16" s="479" t="s">
        <v>112</v>
      </c>
      <c r="S16" s="424"/>
      <c r="T16" s="424"/>
      <c r="U16" s="479" t="s">
        <v>1491</v>
      </c>
      <c r="V16" s="425" t="s">
        <v>103</v>
      </c>
      <c r="W16" s="426"/>
      <c r="X16" s="415"/>
      <c r="Y16" s="415"/>
      <c r="Z16" s="415"/>
      <c r="AA16" s="415"/>
      <c r="AB16" s="415"/>
      <c r="AC16" s="427"/>
      <c r="AD16" s="427"/>
      <c r="AE16" s="427"/>
      <c r="AF16" s="428"/>
      <c r="AG16" s="428"/>
      <c r="AH16" s="428"/>
      <c r="AI16" s="428"/>
      <c r="AJ16" s="428"/>
      <c r="AK16" s="428"/>
      <c r="AL16" s="428"/>
      <c r="AM16" s="428"/>
      <c r="AN16" s="428"/>
      <c r="AO16" s="428"/>
      <c r="AP16" s="428"/>
      <c r="AQ16" s="428"/>
      <c r="AR16" s="428"/>
      <c r="AS16" s="428"/>
      <c r="AT16" s="428"/>
      <c r="AU16" s="428"/>
      <c r="AV16" s="428"/>
      <c r="AW16" s="428"/>
      <c r="AX16" s="428"/>
      <c r="AY16" s="428"/>
      <c r="AZ16" s="428"/>
      <c r="BA16" s="428"/>
      <c r="BB16" s="428"/>
      <c r="BC16" s="428"/>
      <c r="BD16" s="428"/>
      <c r="BE16" s="428"/>
      <c r="BF16" s="428"/>
      <c r="BG16" s="428"/>
      <c r="BH16" s="428"/>
      <c r="BI16" s="428"/>
      <c r="BJ16" s="428"/>
      <c r="BK16" s="428"/>
      <c r="BL16" s="428"/>
      <c r="BM16" s="428"/>
      <c r="BN16" s="428"/>
    </row>
    <row r="17" spans="1:66" s="413" customFormat="1" ht="255" x14ac:dyDescent="0.2">
      <c r="A17" s="462" t="s">
        <v>108</v>
      </c>
      <c r="B17" s="463" t="s">
        <v>109</v>
      </c>
      <c r="C17" s="464" t="s">
        <v>549</v>
      </c>
      <c r="D17" s="478" t="s">
        <v>1488</v>
      </c>
      <c r="E17" s="480"/>
      <c r="F17" s="480"/>
      <c r="G17" s="480"/>
      <c r="H17" s="480"/>
      <c r="I17" s="480">
        <v>1</v>
      </c>
      <c r="J17" s="480"/>
      <c r="K17" s="480"/>
      <c r="L17" s="480"/>
      <c r="M17" s="481"/>
      <c r="N17" s="482">
        <v>1</v>
      </c>
      <c r="O17" s="481"/>
      <c r="P17" s="481"/>
      <c r="Q17" s="423"/>
      <c r="R17" s="479" t="s">
        <v>112</v>
      </c>
      <c r="S17" s="424"/>
      <c r="T17" s="424"/>
      <c r="U17" s="479" t="s">
        <v>1491</v>
      </c>
      <c r="V17" s="425" t="s">
        <v>103</v>
      </c>
      <c r="W17" s="426"/>
      <c r="X17" s="415"/>
      <c r="Y17" s="415"/>
      <c r="Z17" s="415"/>
      <c r="AA17" s="415"/>
      <c r="AB17" s="415"/>
      <c r="AC17" s="427"/>
      <c r="AD17" s="427"/>
      <c r="AE17" s="427"/>
      <c r="AF17" s="428"/>
      <c r="AG17" s="428"/>
      <c r="AH17" s="428"/>
      <c r="AI17" s="428"/>
      <c r="AJ17" s="428"/>
      <c r="AK17" s="428"/>
      <c r="AL17" s="428"/>
      <c r="AM17" s="428"/>
      <c r="AN17" s="428"/>
      <c r="AO17" s="428"/>
      <c r="AP17" s="428"/>
      <c r="AQ17" s="428"/>
      <c r="AR17" s="428"/>
      <c r="AS17" s="428"/>
      <c r="AT17" s="428"/>
      <c r="AU17" s="428"/>
      <c r="AV17" s="428"/>
      <c r="AW17" s="428"/>
      <c r="AX17" s="428"/>
      <c r="AY17" s="428"/>
      <c r="AZ17" s="428"/>
      <c r="BA17" s="428"/>
      <c r="BB17" s="428"/>
      <c r="BC17" s="428"/>
      <c r="BD17" s="428"/>
      <c r="BE17" s="428"/>
      <c r="BF17" s="428"/>
      <c r="BG17" s="428"/>
      <c r="BH17" s="428"/>
      <c r="BI17" s="428"/>
      <c r="BJ17" s="428"/>
      <c r="BK17" s="428"/>
      <c r="BL17" s="428"/>
      <c r="BM17" s="428"/>
      <c r="BN17" s="428"/>
    </row>
    <row r="18" spans="1:66" s="413" customFormat="1" ht="195" x14ac:dyDescent="0.2">
      <c r="A18" s="462" t="s">
        <v>122</v>
      </c>
      <c r="B18" s="463" t="s">
        <v>123</v>
      </c>
      <c r="C18" s="464" t="s">
        <v>124</v>
      </c>
      <c r="D18" s="463" t="s">
        <v>125</v>
      </c>
      <c r="E18" s="465">
        <v>1</v>
      </c>
      <c r="F18" s="465">
        <v>1</v>
      </c>
      <c r="G18" s="465">
        <v>1</v>
      </c>
      <c r="H18" s="465">
        <v>1</v>
      </c>
      <c r="I18" s="465">
        <v>1</v>
      </c>
      <c r="J18" s="465">
        <v>1</v>
      </c>
      <c r="K18" s="465">
        <v>1</v>
      </c>
      <c r="L18" s="465">
        <v>1</v>
      </c>
      <c r="M18" s="465">
        <v>1</v>
      </c>
      <c r="N18" s="465">
        <v>1</v>
      </c>
      <c r="O18" s="465">
        <v>1</v>
      </c>
      <c r="P18" s="465">
        <v>1</v>
      </c>
      <c r="Q18" s="423">
        <f t="shared" si="1"/>
        <v>12</v>
      </c>
      <c r="R18" s="424" t="s">
        <v>101</v>
      </c>
      <c r="S18" s="424"/>
      <c r="T18" s="424"/>
      <c r="U18" s="462"/>
      <c r="V18" s="425" t="s">
        <v>126</v>
      </c>
      <c r="W18" s="426"/>
      <c r="X18" s="415"/>
      <c r="Y18" s="415"/>
      <c r="Z18" s="415"/>
      <c r="AA18" s="415"/>
      <c r="AB18" s="415"/>
      <c r="AC18" s="427"/>
      <c r="AD18" s="427"/>
      <c r="AE18" s="427"/>
      <c r="AF18" s="428"/>
      <c r="AG18" s="428"/>
      <c r="AH18" s="428"/>
      <c r="AI18" s="428"/>
      <c r="AJ18" s="428"/>
      <c r="AK18" s="428"/>
      <c r="AL18" s="428"/>
      <c r="AM18" s="428"/>
      <c r="AN18" s="428"/>
      <c r="AO18" s="428"/>
      <c r="AP18" s="428"/>
      <c r="AQ18" s="428"/>
      <c r="AR18" s="428"/>
      <c r="AS18" s="428"/>
      <c r="AT18" s="428"/>
      <c r="AU18" s="428"/>
      <c r="AV18" s="428"/>
      <c r="AW18" s="428"/>
      <c r="AX18" s="428"/>
      <c r="AY18" s="428"/>
      <c r="AZ18" s="428"/>
      <c r="BA18" s="428"/>
      <c r="BB18" s="428"/>
      <c r="BC18" s="428"/>
      <c r="BD18" s="428"/>
      <c r="BE18" s="428"/>
      <c r="BF18" s="428"/>
      <c r="BG18" s="428"/>
      <c r="BH18" s="428"/>
      <c r="BI18" s="428"/>
      <c r="BJ18" s="428"/>
      <c r="BK18" s="428"/>
      <c r="BL18" s="428"/>
      <c r="BM18" s="428"/>
      <c r="BN18" s="428"/>
    </row>
    <row r="19" spans="1:66" s="413" customFormat="1" ht="150" x14ac:dyDescent="0.2">
      <c r="A19" s="462" t="s">
        <v>127</v>
      </c>
      <c r="B19" s="466" t="s">
        <v>128</v>
      </c>
      <c r="C19" s="467" t="s">
        <v>129</v>
      </c>
      <c r="D19" s="466" t="s">
        <v>130</v>
      </c>
      <c r="E19" s="468"/>
      <c r="F19" s="468"/>
      <c r="G19" s="468">
        <v>1</v>
      </c>
      <c r="H19" s="468"/>
      <c r="I19" s="468"/>
      <c r="J19" s="468">
        <v>1</v>
      </c>
      <c r="K19" s="468"/>
      <c r="L19" s="468"/>
      <c r="M19" s="468">
        <v>1</v>
      </c>
      <c r="N19" s="468"/>
      <c r="O19" s="468"/>
      <c r="P19" s="468"/>
      <c r="Q19" s="423">
        <f t="shared" si="1"/>
        <v>3</v>
      </c>
      <c r="R19" s="424" t="s">
        <v>120</v>
      </c>
      <c r="S19" s="424" t="s">
        <v>131</v>
      </c>
      <c r="T19" s="424"/>
      <c r="U19" s="469"/>
      <c r="V19" s="429" t="s">
        <v>132</v>
      </c>
      <c r="W19" s="426"/>
      <c r="X19" s="415"/>
      <c r="Y19" s="415"/>
      <c r="Z19" s="415"/>
      <c r="AA19" s="415"/>
      <c r="AB19" s="415"/>
      <c r="AC19" s="427"/>
      <c r="AD19" s="427"/>
      <c r="AE19" s="427"/>
      <c r="AF19" s="428"/>
      <c r="AG19" s="428"/>
      <c r="AH19" s="428"/>
      <c r="AI19" s="428"/>
      <c r="AJ19" s="428"/>
      <c r="AK19" s="428"/>
      <c r="AL19" s="428"/>
      <c r="AM19" s="428"/>
      <c r="AN19" s="428"/>
      <c r="AO19" s="428"/>
      <c r="AP19" s="428"/>
      <c r="AQ19" s="428"/>
      <c r="AR19" s="428"/>
      <c r="AS19" s="428"/>
      <c r="AT19" s="428"/>
      <c r="AU19" s="428"/>
      <c r="AV19" s="428"/>
      <c r="AW19" s="428"/>
      <c r="AX19" s="428"/>
      <c r="AY19" s="428"/>
      <c r="AZ19" s="428"/>
      <c r="BA19" s="428"/>
      <c r="BB19" s="428"/>
      <c r="BC19" s="428"/>
      <c r="BD19" s="428"/>
      <c r="BE19" s="428"/>
      <c r="BF19" s="428"/>
      <c r="BG19" s="428"/>
      <c r="BH19" s="428"/>
      <c r="BI19" s="428"/>
      <c r="BJ19" s="428"/>
      <c r="BK19" s="428"/>
      <c r="BL19" s="428"/>
      <c r="BM19" s="428"/>
      <c r="BN19" s="428"/>
    </row>
    <row r="20" spans="1:66" s="413" customFormat="1" ht="84.75" customHeight="1" x14ac:dyDescent="0.2">
      <c r="A20" s="462" t="s">
        <v>127</v>
      </c>
      <c r="B20" s="466" t="s">
        <v>128</v>
      </c>
      <c r="C20" s="467" t="s">
        <v>133</v>
      </c>
      <c r="D20" s="463" t="s">
        <v>134</v>
      </c>
      <c r="E20" s="465"/>
      <c r="F20" s="465"/>
      <c r="G20" s="465">
        <v>1</v>
      </c>
      <c r="H20" s="465"/>
      <c r="I20" s="465"/>
      <c r="J20" s="465">
        <v>1</v>
      </c>
      <c r="K20" s="465"/>
      <c r="L20" s="465"/>
      <c r="M20" s="465">
        <v>1</v>
      </c>
      <c r="N20" s="465"/>
      <c r="O20" s="465">
        <v>1</v>
      </c>
      <c r="P20" s="465"/>
      <c r="Q20" s="423">
        <f t="shared" si="1"/>
        <v>4</v>
      </c>
      <c r="R20" s="424" t="s">
        <v>112</v>
      </c>
      <c r="S20" s="424" t="s">
        <v>131</v>
      </c>
      <c r="T20" s="424"/>
      <c r="U20" s="462"/>
      <c r="V20" s="429" t="s">
        <v>132</v>
      </c>
      <c r="W20" s="426"/>
      <c r="X20" s="415"/>
      <c r="Y20" s="415"/>
      <c r="Z20" s="415"/>
      <c r="AA20" s="415"/>
      <c r="AB20" s="415"/>
      <c r="AC20" s="427"/>
      <c r="AD20" s="427"/>
      <c r="AE20" s="427"/>
      <c r="AF20" s="428"/>
      <c r="AG20" s="428"/>
      <c r="AH20" s="428"/>
      <c r="AI20" s="428"/>
      <c r="AJ20" s="428"/>
      <c r="AK20" s="428"/>
      <c r="AL20" s="428"/>
      <c r="AM20" s="428"/>
      <c r="AN20" s="428"/>
      <c r="AO20" s="428"/>
      <c r="AP20" s="428"/>
      <c r="AQ20" s="428"/>
      <c r="AR20" s="428"/>
      <c r="AS20" s="428"/>
      <c r="AT20" s="428"/>
      <c r="AU20" s="428"/>
      <c r="AV20" s="428"/>
      <c r="AW20" s="428"/>
      <c r="AX20" s="428"/>
      <c r="AY20" s="428"/>
      <c r="AZ20" s="428"/>
      <c r="BA20" s="428"/>
      <c r="BB20" s="428"/>
      <c r="BC20" s="428"/>
      <c r="BD20" s="428"/>
      <c r="BE20" s="428"/>
      <c r="BF20" s="428"/>
      <c r="BG20" s="428"/>
      <c r="BH20" s="428"/>
      <c r="BI20" s="428"/>
      <c r="BJ20" s="428"/>
      <c r="BK20" s="428"/>
      <c r="BL20" s="428"/>
      <c r="BM20" s="428"/>
      <c r="BN20" s="428"/>
    </row>
    <row r="21" spans="1:66" s="413" customFormat="1" ht="150" x14ac:dyDescent="0.2">
      <c r="A21" s="462" t="s">
        <v>127</v>
      </c>
      <c r="B21" s="466" t="s">
        <v>128</v>
      </c>
      <c r="C21" s="467" t="s">
        <v>135</v>
      </c>
      <c r="D21" s="466" t="s">
        <v>136</v>
      </c>
      <c r="E21" s="468"/>
      <c r="F21" s="468"/>
      <c r="G21" s="468"/>
      <c r="H21" s="468">
        <v>1</v>
      </c>
      <c r="I21" s="468"/>
      <c r="J21" s="468"/>
      <c r="K21" s="468"/>
      <c r="L21" s="468">
        <v>1</v>
      </c>
      <c r="M21" s="468"/>
      <c r="N21" s="468">
        <v>1</v>
      </c>
      <c r="O21" s="468"/>
      <c r="P21" s="468"/>
      <c r="Q21" s="423">
        <f t="shared" si="1"/>
        <v>3</v>
      </c>
      <c r="R21" s="424" t="s">
        <v>112</v>
      </c>
      <c r="S21" s="424"/>
      <c r="T21" s="424"/>
      <c r="U21" s="469"/>
      <c r="V21" s="429" t="s">
        <v>132</v>
      </c>
      <c r="W21" s="426"/>
      <c r="X21" s="415"/>
      <c r="Y21" s="415"/>
      <c r="Z21" s="415"/>
      <c r="AA21" s="415"/>
      <c r="AB21" s="415"/>
      <c r="AC21" s="427"/>
      <c r="AD21" s="427"/>
      <c r="AE21" s="427"/>
      <c r="AF21" s="428"/>
      <c r="AG21" s="428"/>
      <c r="AH21" s="428"/>
      <c r="AI21" s="428"/>
      <c r="AJ21" s="428"/>
      <c r="AK21" s="428"/>
      <c r="AL21" s="428"/>
      <c r="AM21" s="428"/>
      <c r="AN21" s="428"/>
      <c r="AO21" s="428"/>
      <c r="AP21" s="428"/>
      <c r="AQ21" s="428"/>
      <c r="AR21" s="428"/>
      <c r="AS21" s="428"/>
      <c r="AT21" s="428"/>
      <c r="AU21" s="428"/>
      <c r="AV21" s="428"/>
      <c r="AW21" s="428"/>
      <c r="AX21" s="428"/>
      <c r="AY21" s="428"/>
      <c r="AZ21" s="428"/>
      <c r="BA21" s="428"/>
      <c r="BB21" s="428"/>
      <c r="BC21" s="428"/>
      <c r="BD21" s="428"/>
      <c r="BE21" s="428"/>
      <c r="BF21" s="428"/>
      <c r="BG21" s="428"/>
      <c r="BH21" s="428"/>
      <c r="BI21" s="428"/>
      <c r="BJ21" s="428"/>
      <c r="BK21" s="428"/>
      <c r="BL21" s="428"/>
      <c r="BM21" s="428"/>
      <c r="BN21" s="428"/>
    </row>
    <row r="22" spans="1:66" s="413" customFormat="1" ht="150" x14ac:dyDescent="0.2">
      <c r="A22" s="462" t="s">
        <v>127</v>
      </c>
      <c r="B22" s="466" t="s">
        <v>128</v>
      </c>
      <c r="C22" s="467" t="s">
        <v>137</v>
      </c>
      <c r="D22" s="463" t="s">
        <v>138</v>
      </c>
      <c r="E22" s="465"/>
      <c r="F22" s="465"/>
      <c r="G22" s="465"/>
      <c r="H22" s="465">
        <v>1</v>
      </c>
      <c r="I22" s="465"/>
      <c r="J22" s="465"/>
      <c r="K22" s="465"/>
      <c r="L22" s="465"/>
      <c r="M22" s="465">
        <v>1</v>
      </c>
      <c r="N22" s="465"/>
      <c r="O22" s="465"/>
      <c r="P22" s="465"/>
      <c r="Q22" s="423">
        <f t="shared" si="1"/>
        <v>2</v>
      </c>
      <c r="R22" s="424" t="s">
        <v>112</v>
      </c>
      <c r="S22" s="424"/>
      <c r="T22" s="424"/>
      <c r="U22" s="462"/>
      <c r="V22" s="429" t="s">
        <v>132</v>
      </c>
      <c r="W22" s="426"/>
      <c r="X22" s="415"/>
      <c r="Y22" s="415"/>
      <c r="Z22" s="415"/>
      <c r="AA22" s="415"/>
      <c r="AB22" s="415"/>
      <c r="AC22" s="427"/>
      <c r="AD22" s="427"/>
      <c r="AE22" s="427"/>
      <c r="AF22" s="428"/>
      <c r="AG22" s="428"/>
      <c r="AH22" s="428"/>
      <c r="AI22" s="428"/>
      <c r="AJ22" s="428"/>
      <c r="AK22" s="428"/>
      <c r="AL22" s="428"/>
      <c r="AM22" s="428"/>
      <c r="AN22" s="428"/>
      <c r="AO22" s="428"/>
      <c r="AP22" s="428"/>
      <c r="AQ22" s="428"/>
      <c r="AR22" s="428"/>
      <c r="AS22" s="428"/>
      <c r="AT22" s="428"/>
      <c r="AU22" s="428"/>
      <c r="AV22" s="428"/>
      <c r="AW22" s="428"/>
      <c r="AX22" s="428"/>
      <c r="AY22" s="428"/>
      <c r="AZ22" s="428"/>
      <c r="BA22" s="428"/>
      <c r="BB22" s="428"/>
      <c r="BC22" s="428"/>
      <c r="BD22" s="428"/>
      <c r="BE22" s="428"/>
      <c r="BF22" s="428"/>
      <c r="BG22" s="428"/>
      <c r="BH22" s="428"/>
      <c r="BI22" s="428"/>
      <c r="BJ22" s="428"/>
      <c r="BK22" s="428"/>
      <c r="BL22" s="428"/>
      <c r="BM22" s="428"/>
      <c r="BN22" s="428"/>
    </row>
    <row r="23" spans="1:66" s="413" customFormat="1" ht="180" x14ac:dyDescent="0.2">
      <c r="A23" s="462" t="s">
        <v>139</v>
      </c>
      <c r="B23" s="463" t="s">
        <v>140</v>
      </c>
      <c r="C23" s="464" t="s">
        <v>141</v>
      </c>
      <c r="D23" s="430" t="s">
        <v>142</v>
      </c>
      <c r="E23" s="465">
        <v>1</v>
      </c>
      <c r="F23" s="465"/>
      <c r="G23" s="465"/>
      <c r="H23" s="465">
        <v>1</v>
      </c>
      <c r="I23" s="465"/>
      <c r="J23" s="465"/>
      <c r="K23" s="465">
        <v>1</v>
      </c>
      <c r="L23" s="465"/>
      <c r="M23" s="465"/>
      <c r="N23" s="465">
        <v>1</v>
      </c>
      <c r="O23" s="465"/>
      <c r="P23" s="465"/>
      <c r="Q23" s="423">
        <f t="shared" si="1"/>
        <v>4</v>
      </c>
      <c r="R23" s="424" t="s">
        <v>120</v>
      </c>
      <c r="S23" s="424" t="s">
        <v>143</v>
      </c>
      <c r="T23" s="424"/>
      <c r="U23" s="462"/>
      <c r="V23" s="425" t="s">
        <v>144</v>
      </c>
      <c r="W23" s="426"/>
      <c r="X23" s="415"/>
      <c r="Y23" s="415"/>
      <c r="Z23" s="415"/>
      <c r="AA23" s="415"/>
      <c r="AB23" s="415"/>
      <c r="AC23" s="427"/>
      <c r="AD23" s="427"/>
      <c r="AE23" s="427"/>
      <c r="AF23" s="428"/>
      <c r="AG23" s="428"/>
      <c r="AH23" s="428"/>
      <c r="AI23" s="428"/>
      <c r="AJ23" s="428"/>
      <c r="AK23" s="428"/>
      <c r="AL23" s="428"/>
      <c r="AM23" s="428"/>
      <c r="AN23" s="428"/>
      <c r="AO23" s="428"/>
      <c r="AP23" s="428"/>
      <c r="AQ23" s="428"/>
      <c r="AR23" s="428"/>
      <c r="AS23" s="428"/>
      <c r="AT23" s="428"/>
      <c r="AU23" s="428"/>
      <c r="AV23" s="428"/>
      <c r="AW23" s="428"/>
      <c r="AX23" s="428"/>
      <c r="AY23" s="428"/>
      <c r="AZ23" s="428"/>
      <c r="BA23" s="428"/>
      <c r="BB23" s="428"/>
      <c r="BC23" s="428"/>
      <c r="BD23" s="428"/>
      <c r="BE23" s="428"/>
      <c r="BF23" s="428"/>
      <c r="BG23" s="428"/>
      <c r="BH23" s="428"/>
      <c r="BI23" s="428"/>
      <c r="BJ23" s="428"/>
      <c r="BK23" s="428"/>
      <c r="BL23" s="428"/>
      <c r="BM23" s="428"/>
      <c r="BN23" s="428"/>
    </row>
    <row r="24" spans="1:66" s="413" customFormat="1" ht="195" x14ac:dyDescent="0.2">
      <c r="A24" s="462" t="s">
        <v>145</v>
      </c>
      <c r="B24" s="466" t="s">
        <v>146</v>
      </c>
      <c r="C24" s="467" t="s">
        <v>147</v>
      </c>
      <c r="D24" s="466" t="s">
        <v>148</v>
      </c>
      <c r="E24" s="468"/>
      <c r="F24" s="468"/>
      <c r="G24" s="468"/>
      <c r="H24" s="468"/>
      <c r="I24" s="468"/>
      <c r="J24" s="468">
        <v>1</v>
      </c>
      <c r="K24" s="468"/>
      <c r="L24" s="468"/>
      <c r="M24" s="468"/>
      <c r="N24" s="468"/>
      <c r="O24" s="468"/>
      <c r="P24" s="468"/>
      <c r="Q24" s="423">
        <f t="shared" si="1"/>
        <v>1</v>
      </c>
      <c r="R24" s="424" t="s">
        <v>101</v>
      </c>
      <c r="S24" s="424"/>
      <c r="T24" s="424"/>
      <c r="U24" s="469"/>
      <c r="V24" s="429" t="s">
        <v>149</v>
      </c>
      <c r="W24" s="426"/>
      <c r="X24" s="415"/>
      <c r="Y24" s="415"/>
      <c r="Z24" s="415"/>
      <c r="AA24" s="415"/>
      <c r="AB24" s="415"/>
      <c r="AC24" s="427"/>
      <c r="AD24" s="427"/>
      <c r="AE24" s="427"/>
      <c r="AF24" s="428"/>
      <c r="AG24" s="428"/>
      <c r="AH24" s="428"/>
      <c r="AI24" s="428"/>
      <c r="AJ24" s="428"/>
      <c r="AK24" s="428"/>
      <c r="AL24" s="428"/>
      <c r="AM24" s="428"/>
      <c r="AN24" s="428"/>
      <c r="AO24" s="428"/>
      <c r="AP24" s="428"/>
      <c r="AQ24" s="428"/>
      <c r="AR24" s="428"/>
      <c r="AS24" s="428"/>
      <c r="AT24" s="428"/>
      <c r="AU24" s="428"/>
      <c r="AV24" s="428"/>
      <c r="AW24" s="428"/>
      <c r="AX24" s="428"/>
      <c r="AY24" s="428"/>
      <c r="AZ24" s="428"/>
      <c r="BA24" s="428"/>
      <c r="BB24" s="428"/>
      <c r="BC24" s="428"/>
      <c r="BD24" s="428"/>
      <c r="BE24" s="428"/>
      <c r="BF24" s="428"/>
      <c r="BG24" s="428"/>
      <c r="BH24" s="428"/>
      <c r="BI24" s="428"/>
      <c r="BJ24" s="428"/>
      <c r="BK24" s="428"/>
      <c r="BL24" s="428"/>
      <c r="BM24" s="428"/>
      <c r="BN24" s="428"/>
    </row>
    <row r="25" spans="1:66" s="413" customFormat="1" ht="195" x14ac:dyDescent="0.2">
      <c r="A25" s="462" t="s">
        <v>145</v>
      </c>
      <c r="B25" s="466" t="s">
        <v>146</v>
      </c>
      <c r="C25" s="467" t="s">
        <v>150</v>
      </c>
      <c r="D25" s="463" t="s">
        <v>151</v>
      </c>
      <c r="E25" s="465"/>
      <c r="F25" s="465"/>
      <c r="G25" s="465"/>
      <c r="H25" s="465"/>
      <c r="I25" s="465"/>
      <c r="J25" s="465">
        <v>1</v>
      </c>
      <c r="K25" s="465"/>
      <c r="L25" s="465"/>
      <c r="M25" s="465"/>
      <c r="N25" s="465"/>
      <c r="O25" s="465">
        <v>1</v>
      </c>
      <c r="P25" s="465"/>
      <c r="Q25" s="423">
        <f t="shared" si="1"/>
        <v>2</v>
      </c>
      <c r="R25" s="424" t="s">
        <v>120</v>
      </c>
      <c r="S25" s="424" t="s">
        <v>101</v>
      </c>
      <c r="T25" s="424"/>
      <c r="U25" s="462"/>
      <c r="V25" s="429" t="s">
        <v>149</v>
      </c>
      <c r="W25" s="426"/>
      <c r="X25" s="415"/>
      <c r="Y25" s="415"/>
      <c r="Z25" s="415"/>
      <c r="AA25" s="415"/>
      <c r="AB25" s="415"/>
      <c r="AC25" s="427"/>
      <c r="AD25" s="427"/>
      <c r="AE25" s="427"/>
      <c r="AF25" s="428"/>
      <c r="AG25" s="428"/>
      <c r="AH25" s="428"/>
      <c r="AI25" s="428"/>
      <c r="AJ25" s="428"/>
      <c r="AK25" s="428"/>
      <c r="AL25" s="428"/>
      <c r="AM25" s="428"/>
      <c r="AN25" s="428"/>
      <c r="AO25" s="428"/>
      <c r="AP25" s="428"/>
      <c r="AQ25" s="428"/>
      <c r="AR25" s="428"/>
      <c r="AS25" s="428"/>
      <c r="AT25" s="428"/>
      <c r="AU25" s="428"/>
      <c r="AV25" s="428"/>
      <c r="AW25" s="428"/>
      <c r="AX25" s="428"/>
      <c r="AY25" s="428"/>
      <c r="AZ25" s="428"/>
      <c r="BA25" s="428"/>
      <c r="BB25" s="428"/>
      <c r="BC25" s="428"/>
      <c r="BD25" s="428"/>
      <c r="BE25" s="428"/>
      <c r="BF25" s="428"/>
      <c r="BG25" s="428"/>
      <c r="BH25" s="428"/>
      <c r="BI25" s="428"/>
      <c r="BJ25" s="428"/>
      <c r="BK25" s="428"/>
      <c r="BL25" s="428"/>
      <c r="BM25" s="428"/>
      <c r="BN25" s="428"/>
    </row>
    <row r="26" spans="1:66" s="413" customFormat="1" ht="195" x14ac:dyDescent="0.2">
      <c r="A26" s="462" t="s">
        <v>145</v>
      </c>
      <c r="B26" s="466" t="s">
        <v>146</v>
      </c>
      <c r="C26" s="467" t="s">
        <v>152</v>
      </c>
      <c r="D26" s="466" t="s">
        <v>153</v>
      </c>
      <c r="E26" s="468"/>
      <c r="F26" s="468"/>
      <c r="G26" s="468"/>
      <c r="H26" s="468"/>
      <c r="I26" s="468"/>
      <c r="J26" s="468"/>
      <c r="K26" s="468"/>
      <c r="L26" s="468"/>
      <c r="M26" s="468">
        <v>1</v>
      </c>
      <c r="N26" s="468"/>
      <c r="O26" s="468"/>
      <c r="P26" s="468"/>
      <c r="Q26" s="423">
        <f t="shared" si="1"/>
        <v>1</v>
      </c>
      <c r="R26" s="424" t="s">
        <v>101</v>
      </c>
      <c r="S26" s="424"/>
      <c r="T26" s="424"/>
      <c r="U26" s="469"/>
      <c r="V26" s="429" t="s">
        <v>149</v>
      </c>
      <c r="W26" s="426"/>
      <c r="X26" s="415"/>
      <c r="Y26" s="415"/>
      <c r="Z26" s="415"/>
      <c r="AA26" s="415"/>
      <c r="AB26" s="415"/>
      <c r="AC26" s="427"/>
      <c r="AD26" s="427"/>
      <c r="AE26" s="427"/>
      <c r="AF26" s="428"/>
      <c r="AG26" s="428"/>
      <c r="AH26" s="428"/>
      <c r="AI26" s="428"/>
      <c r="AJ26" s="428"/>
      <c r="AK26" s="428"/>
      <c r="AL26" s="428"/>
      <c r="AM26" s="428"/>
      <c r="AN26" s="428"/>
      <c r="AO26" s="428"/>
      <c r="AP26" s="428"/>
      <c r="AQ26" s="428"/>
      <c r="AR26" s="428"/>
      <c r="AS26" s="428"/>
      <c r="AT26" s="428"/>
      <c r="AU26" s="428"/>
      <c r="AV26" s="428"/>
      <c r="AW26" s="428"/>
      <c r="AX26" s="428"/>
      <c r="AY26" s="428"/>
      <c r="AZ26" s="428"/>
      <c r="BA26" s="428"/>
      <c r="BB26" s="428"/>
      <c r="BC26" s="428"/>
      <c r="BD26" s="428"/>
      <c r="BE26" s="428"/>
      <c r="BF26" s="428"/>
      <c r="BG26" s="428"/>
      <c r="BH26" s="428"/>
      <c r="BI26" s="428"/>
      <c r="BJ26" s="428"/>
      <c r="BK26" s="428"/>
      <c r="BL26" s="428"/>
      <c r="BM26" s="428"/>
      <c r="BN26" s="428"/>
    </row>
    <row r="27" spans="1:66" s="413" customFormat="1" ht="195" x14ac:dyDescent="0.2">
      <c r="A27" s="462" t="s">
        <v>145</v>
      </c>
      <c r="B27" s="466" t="s">
        <v>146</v>
      </c>
      <c r="C27" s="467" t="s">
        <v>154</v>
      </c>
      <c r="D27" s="463" t="s">
        <v>155</v>
      </c>
      <c r="E27" s="465"/>
      <c r="F27" s="465">
        <v>1</v>
      </c>
      <c r="G27" s="465"/>
      <c r="H27" s="465"/>
      <c r="I27" s="465">
        <v>1</v>
      </c>
      <c r="J27" s="465"/>
      <c r="K27" s="465"/>
      <c r="L27" s="465">
        <v>1</v>
      </c>
      <c r="M27" s="465"/>
      <c r="N27" s="465"/>
      <c r="O27" s="465">
        <v>1</v>
      </c>
      <c r="P27" s="465"/>
      <c r="Q27" s="423">
        <f t="shared" si="1"/>
        <v>4</v>
      </c>
      <c r="R27" s="424"/>
      <c r="S27" s="424"/>
      <c r="T27" s="440" t="s">
        <v>156</v>
      </c>
      <c r="U27" s="462"/>
      <c r="V27" s="429" t="s">
        <v>149</v>
      </c>
      <c r="W27" s="426"/>
      <c r="X27" s="415"/>
      <c r="Y27" s="415"/>
      <c r="Z27" s="415"/>
      <c r="AA27" s="415"/>
      <c r="AB27" s="415"/>
      <c r="AC27" s="427"/>
      <c r="AD27" s="427"/>
      <c r="AE27" s="427"/>
      <c r="AF27" s="428"/>
      <c r="AG27" s="428"/>
      <c r="AH27" s="428"/>
      <c r="AI27" s="428"/>
      <c r="AJ27" s="428"/>
      <c r="AK27" s="428"/>
      <c r="AL27" s="428"/>
      <c r="AM27" s="428"/>
      <c r="AN27" s="428"/>
      <c r="AO27" s="428"/>
      <c r="AP27" s="428"/>
      <c r="AQ27" s="428"/>
      <c r="AR27" s="428"/>
      <c r="AS27" s="428"/>
      <c r="AT27" s="428"/>
      <c r="AU27" s="428"/>
      <c r="AV27" s="428"/>
      <c r="AW27" s="428"/>
      <c r="AX27" s="428"/>
      <c r="AY27" s="428"/>
      <c r="AZ27" s="428"/>
      <c r="BA27" s="428"/>
      <c r="BB27" s="428"/>
      <c r="BC27" s="428"/>
      <c r="BD27" s="428"/>
      <c r="BE27" s="428"/>
      <c r="BF27" s="428"/>
      <c r="BG27" s="428"/>
      <c r="BH27" s="428"/>
      <c r="BI27" s="428"/>
      <c r="BJ27" s="428"/>
      <c r="BK27" s="428"/>
      <c r="BL27" s="428"/>
      <c r="BM27" s="428"/>
      <c r="BN27" s="428"/>
    </row>
    <row r="28" spans="1:66" s="413" customFormat="1" ht="195" x14ac:dyDescent="0.2">
      <c r="A28" s="462" t="s">
        <v>145</v>
      </c>
      <c r="B28" s="466" t="s">
        <v>146</v>
      </c>
      <c r="C28" s="467" t="s">
        <v>157</v>
      </c>
      <c r="D28" s="466" t="s">
        <v>158</v>
      </c>
      <c r="E28" s="468"/>
      <c r="F28" s="468"/>
      <c r="G28" s="468">
        <v>1</v>
      </c>
      <c r="H28" s="468"/>
      <c r="I28" s="468"/>
      <c r="J28" s="468">
        <v>1</v>
      </c>
      <c r="K28" s="468"/>
      <c r="L28" s="468"/>
      <c r="M28" s="468">
        <v>1</v>
      </c>
      <c r="N28" s="468"/>
      <c r="O28" s="468"/>
      <c r="P28" s="468">
        <v>1</v>
      </c>
      <c r="Q28" s="423">
        <f t="shared" si="1"/>
        <v>4</v>
      </c>
      <c r="R28" s="424" t="s">
        <v>101</v>
      </c>
      <c r="S28" s="424"/>
      <c r="T28" s="424"/>
      <c r="U28" s="469"/>
      <c r="V28" s="429" t="s">
        <v>149</v>
      </c>
      <c r="W28" s="426"/>
      <c r="X28" s="415"/>
      <c r="Y28" s="415"/>
      <c r="Z28" s="415"/>
      <c r="AA28" s="415"/>
      <c r="AB28" s="415"/>
      <c r="AC28" s="427"/>
      <c r="AD28" s="427"/>
      <c r="AE28" s="427"/>
      <c r="AF28" s="428"/>
      <c r="AG28" s="428"/>
      <c r="AH28" s="428"/>
      <c r="AI28" s="428"/>
      <c r="AJ28" s="428"/>
      <c r="AK28" s="428"/>
      <c r="AL28" s="428"/>
      <c r="AM28" s="428"/>
      <c r="AN28" s="428"/>
      <c r="AO28" s="428"/>
      <c r="AP28" s="428"/>
      <c r="AQ28" s="428"/>
      <c r="AR28" s="428"/>
      <c r="AS28" s="428"/>
      <c r="AT28" s="428"/>
      <c r="AU28" s="428"/>
      <c r="AV28" s="428"/>
      <c r="AW28" s="428"/>
      <c r="AX28" s="428"/>
      <c r="AY28" s="428"/>
      <c r="AZ28" s="428"/>
      <c r="BA28" s="428"/>
      <c r="BB28" s="428"/>
      <c r="BC28" s="428"/>
      <c r="BD28" s="428"/>
      <c r="BE28" s="428"/>
      <c r="BF28" s="428"/>
      <c r="BG28" s="428"/>
      <c r="BH28" s="428"/>
      <c r="BI28" s="428"/>
      <c r="BJ28" s="428"/>
      <c r="BK28" s="428"/>
      <c r="BL28" s="428"/>
      <c r="BM28" s="428"/>
      <c r="BN28" s="428"/>
    </row>
    <row r="29" spans="1:66" s="413" customFormat="1" ht="195" x14ac:dyDescent="0.2">
      <c r="A29" s="462" t="s">
        <v>145</v>
      </c>
      <c r="B29" s="466" t="s">
        <v>146</v>
      </c>
      <c r="C29" s="467" t="s">
        <v>159</v>
      </c>
      <c r="D29" s="466" t="s">
        <v>160</v>
      </c>
      <c r="E29" s="468"/>
      <c r="F29" s="468"/>
      <c r="G29" s="468"/>
      <c r="H29" s="468"/>
      <c r="I29" s="468">
        <v>1</v>
      </c>
      <c r="J29" s="468"/>
      <c r="K29" s="468"/>
      <c r="L29" s="468"/>
      <c r="M29" s="468"/>
      <c r="N29" s="468"/>
      <c r="O29" s="468"/>
      <c r="P29" s="468"/>
      <c r="Q29" s="423">
        <f t="shared" si="1"/>
        <v>1</v>
      </c>
      <c r="R29" s="424" t="s">
        <v>120</v>
      </c>
      <c r="S29" s="424" t="s">
        <v>161</v>
      </c>
      <c r="T29" s="424"/>
      <c r="U29" s="469"/>
      <c r="V29" s="429" t="s">
        <v>149</v>
      </c>
      <c r="W29" s="426"/>
      <c r="X29" s="415"/>
      <c r="Y29" s="415"/>
      <c r="Z29" s="415"/>
      <c r="AA29" s="415"/>
      <c r="AB29" s="415"/>
      <c r="AC29" s="427"/>
      <c r="AD29" s="427"/>
      <c r="AE29" s="427"/>
      <c r="AF29" s="428"/>
      <c r="AG29" s="428"/>
      <c r="AH29" s="428"/>
      <c r="AI29" s="428"/>
      <c r="AJ29" s="428"/>
      <c r="AK29" s="428"/>
      <c r="AL29" s="428"/>
      <c r="AM29" s="428"/>
      <c r="AN29" s="428"/>
      <c r="AO29" s="428"/>
      <c r="AP29" s="428"/>
      <c r="AQ29" s="428"/>
      <c r="AR29" s="428"/>
      <c r="AS29" s="428"/>
      <c r="AT29" s="428"/>
      <c r="AU29" s="428"/>
      <c r="AV29" s="428"/>
      <c r="AW29" s="428"/>
      <c r="AX29" s="428"/>
      <c r="AY29" s="428"/>
      <c r="AZ29" s="428"/>
      <c r="BA29" s="428"/>
      <c r="BB29" s="428"/>
      <c r="BC29" s="428"/>
      <c r="BD29" s="428"/>
      <c r="BE29" s="428"/>
      <c r="BF29" s="428"/>
      <c r="BG29" s="428"/>
      <c r="BH29" s="428"/>
      <c r="BI29" s="428"/>
      <c r="BJ29" s="428"/>
      <c r="BK29" s="428"/>
      <c r="BL29" s="428"/>
      <c r="BM29" s="428"/>
      <c r="BN29" s="428"/>
    </row>
    <row r="30" spans="1:66" s="413" customFormat="1" ht="195" x14ac:dyDescent="0.2">
      <c r="A30" s="462" t="s">
        <v>145</v>
      </c>
      <c r="B30" s="466" t="s">
        <v>146</v>
      </c>
      <c r="C30" s="467" t="s">
        <v>162</v>
      </c>
      <c r="D30" s="466" t="s">
        <v>163</v>
      </c>
      <c r="E30" s="468"/>
      <c r="F30" s="468"/>
      <c r="G30" s="468">
        <v>1</v>
      </c>
      <c r="H30" s="468"/>
      <c r="I30" s="468"/>
      <c r="J30" s="468"/>
      <c r="K30" s="468"/>
      <c r="L30" s="468"/>
      <c r="M30" s="468"/>
      <c r="N30" s="468"/>
      <c r="O30" s="468"/>
      <c r="P30" s="468"/>
      <c r="Q30" s="423">
        <f t="shared" si="1"/>
        <v>1</v>
      </c>
      <c r="R30" s="424" t="s">
        <v>131</v>
      </c>
      <c r="S30" s="424"/>
      <c r="T30" s="424"/>
      <c r="U30" s="469"/>
      <c r="V30" s="429" t="s">
        <v>149</v>
      </c>
      <c r="W30" s="426"/>
      <c r="X30" s="415"/>
      <c r="Y30" s="415"/>
      <c r="Z30" s="415"/>
      <c r="AA30" s="415"/>
      <c r="AB30" s="415"/>
      <c r="AC30" s="427"/>
      <c r="AD30" s="427"/>
      <c r="AE30" s="427"/>
      <c r="AF30" s="428"/>
      <c r="AG30" s="428"/>
      <c r="AH30" s="428"/>
      <c r="AI30" s="428"/>
      <c r="AJ30" s="428"/>
      <c r="AK30" s="428"/>
      <c r="AL30" s="428"/>
      <c r="AM30" s="428"/>
      <c r="AN30" s="428"/>
      <c r="AO30" s="428"/>
      <c r="AP30" s="428"/>
      <c r="AQ30" s="428"/>
      <c r="AR30" s="428"/>
      <c r="AS30" s="428"/>
      <c r="AT30" s="428"/>
      <c r="AU30" s="428"/>
      <c r="AV30" s="428"/>
      <c r="AW30" s="428"/>
      <c r="AX30" s="428"/>
      <c r="AY30" s="428"/>
      <c r="AZ30" s="428"/>
      <c r="BA30" s="428"/>
      <c r="BB30" s="428"/>
      <c r="BC30" s="428"/>
      <c r="BD30" s="428"/>
      <c r="BE30" s="428"/>
      <c r="BF30" s="428"/>
      <c r="BG30" s="428"/>
      <c r="BH30" s="428"/>
      <c r="BI30" s="428"/>
      <c r="BJ30" s="428"/>
      <c r="BK30" s="428"/>
      <c r="BL30" s="428"/>
      <c r="BM30" s="428"/>
      <c r="BN30" s="428"/>
    </row>
    <row r="31" spans="1:66" s="413" customFormat="1" ht="195" x14ac:dyDescent="0.2">
      <c r="A31" s="462" t="s">
        <v>145</v>
      </c>
      <c r="B31" s="466" t="s">
        <v>146</v>
      </c>
      <c r="C31" s="467" t="s">
        <v>164</v>
      </c>
      <c r="D31" s="466" t="s">
        <v>165</v>
      </c>
      <c r="E31" s="468"/>
      <c r="F31" s="468"/>
      <c r="G31" s="468">
        <v>1</v>
      </c>
      <c r="H31" s="468"/>
      <c r="I31" s="468"/>
      <c r="J31" s="468">
        <v>1</v>
      </c>
      <c r="K31" s="468"/>
      <c r="L31" s="468"/>
      <c r="M31" s="468">
        <v>1</v>
      </c>
      <c r="N31" s="468"/>
      <c r="O31" s="468"/>
      <c r="P31" s="468"/>
      <c r="Q31" s="423">
        <f t="shared" si="1"/>
        <v>3</v>
      </c>
      <c r="R31" s="424" t="s">
        <v>120</v>
      </c>
      <c r="S31" s="424" t="s">
        <v>143</v>
      </c>
      <c r="T31" s="424"/>
      <c r="U31" s="469"/>
      <c r="V31" s="429" t="s">
        <v>149</v>
      </c>
      <c r="W31" s="426"/>
      <c r="X31" s="415"/>
      <c r="Y31" s="415"/>
      <c r="Z31" s="415"/>
      <c r="AA31" s="415"/>
      <c r="AB31" s="415"/>
      <c r="AC31" s="427"/>
      <c r="AD31" s="427"/>
      <c r="AE31" s="427"/>
      <c r="AF31" s="428"/>
      <c r="AG31" s="428"/>
      <c r="AH31" s="428"/>
      <c r="AI31" s="428"/>
      <c r="AJ31" s="428"/>
      <c r="AK31" s="428"/>
      <c r="AL31" s="428"/>
      <c r="AM31" s="428"/>
      <c r="AN31" s="428"/>
      <c r="AO31" s="428"/>
      <c r="AP31" s="428"/>
      <c r="AQ31" s="428"/>
      <c r="AR31" s="428"/>
      <c r="AS31" s="428"/>
      <c r="AT31" s="428"/>
      <c r="AU31" s="428"/>
      <c r="AV31" s="428"/>
      <c r="AW31" s="428"/>
      <c r="AX31" s="428"/>
      <c r="AY31" s="428"/>
      <c r="AZ31" s="428"/>
      <c r="BA31" s="428"/>
      <c r="BB31" s="428"/>
      <c r="BC31" s="428"/>
      <c r="BD31" s="428"/>
      <c r="BE31" s="428"/>
      <c r="BF31" s="428"/>
      <c r="BG31" s="428"/>
      <c r="BH31" s="428"/>
      <c r="BI31" s="428"/>
      <c r="BJ31" s="428"/>
      <c r="BK31" s="428"/>
      <c r="BL31" s="428"/>
      <c r="BM31" s="428"/>
      <c r="BN31" s="428"/>
    </row>
    <row r="32" spans="1:66" s="413" customFormat="1" ht="195" x14ac:dyDescent="0.2">
      <c r="A32" s="462" t="s">
        <v>145</v>
      </c>
      <c r="B32" s="466" t="s">
        <v>146</v>
      </c>
      <c r="C32" s="467" t="s">
        <v>166</v>
      </c>
      <c r="D32" s="466" t="s">
        <v>167</v>
      </c>
      <c r="E32" s="468"/>
      <c r="F32" s="468"/>
      <c r="G32" s="468"/>
      <c r="H32" s="468"/>
      <c r="I32" s="468"/>
      <c r="J32" s="468"/>
      <c r="K32" s="468"/>
      <c r="L32" s="468"/>
      <c r="M32" s="468"/>
      <c r="N32" s="468">
        <v>1</v>
      </c>
      <c r="O32" s="468"/>
      <c r="P32" s="468"/>
      <c r="Q32" s="423">
        <f t="shared" si="1"/>
        <v>1</v>
      </c>
      <c r="R32" s="424" t="s">
        <v>120</v>
      </c>
      <c r="S32" s="424" t="s">
        <v>101</v>
      </c>
      <c r="T32" s="424"/>
      <c r="U32" s="469"/>
      <c r="V32" s="429" t="s">
        <v>149</v>
      </c>
      <c r="W32" s="426"/>
      <c r="X32" s="415"/>
      <c r="Y32" s="415"/>
      <c r="Z32" s="415"/>
      <c r="AA32" s="415"/>
      <c r="AB32" s="415"/>
      <c r="AC32" s="427"/>
      <c r="AD32" s="427"/>
      <c r="AE32" s="427"/>
      <c r="AF32" s="428"/>
      <c r="AG32" s="428"/>
      <c r="AH32" s="428"/>
      <c r="AI32" s="428"/>
      <c r="AJ32" s="428"/>
      <c r="AK32" s="428"/>
      <c r="AL32" s="428"/>
      <c r="AM32" s="428"/>
      <c r="AN32" s="428"/>
      <c r="AO32" s="428"/>
      <c r="AP32" s="428"/>
      <c r="AQ32" s="428"/>
      <c r="AR32" s="428"/>
      <c r="AS32" s="428"/>
      <c r="AT32" s="428"/>
      <c r="AU32" s="428"/>
      <c r="AV32" s="428"/>
      <c r="AW32" s="428"/>
      <c r="AX32" s="428"/>
      <c r="AY32" s="428"/>
      <c r="AZ32" s="428"/>
      <c r="BA32" s="428"/>
      <c r="BB32" s="428"/>
      <c r="BC32" s="428"/>
      <c r="BD32" s="428"/>
      <c r="BE32" s="428"/>
      <c r="BF32" s="428"/>
      <c r="BG32" s="428"/>
      <c r="BH32" s="428"/>
      <c r="BI32" s="428"/>
      <c r="BJ32" s="428"/>
      <c r="BK32" s="428"/>
      <c r="BL32" s="428"/>
      <c r="BM32" s="428"/>
      <c r="BN32" s="428"/>
    </row>
    <row r="33" spans="1:66" s="413" customFormat="1" ht="195" x14ac:dyDescent="0.2">
      <c r="A33" s="462" t="s">
        <v>145</v>
      </c>
      <c r="B33" s="466" t="s">
        <v>146</v>
      </c>
      <c r="C33" s="467" t="s">
        <v>168</v>
      </c>
      <c r="D33" s="466" t="s">
        <v>169</v>
      </c>
      <c r="E33" s="468"/>
      <c r="F33" s="468"/>
      <c r="G33" s="468"/>
      <c r="H33" s="468"/>
      <c r="I33" s="468"/>
      <c r="J33" s="468"/>
      <c r="K33" s="468"/>
      <c r="L33" s="468"/>
      <c r="M33" s="468"/>
      <c r="N33" s="468"/>
      <c r="O33" s="468"/>
      <c r="P33" s="468">
        <v>1</v>
      </c>
      <c r="Q33" s="423">
        <f t="shared" si="1"/>
        <v>1</v>
      </c>
      <c r="R33" s="424" t="s">
        <v>120</v>
      </c>
      <c r="S33" s="424" t="s">
        <v>143</v>
      </c>
      <c r="T33" s="424"/>
      <c r="U33" s="469"/>
      <c r="V33" s="429" t="s">
        <v>149</v>
      </c>
      <c r="W33" s="426"/>
      <c r="X33" s="415"/>
      <c r="Y33" s="415"/>
      <c r="Z33" s="415"/>
      <c r="AA33" s="415"/>
      <c r="AB33" s="415"/>
      <c r="AC33" s="427"/>
      <c r="AD33" s="427"/>
      <c r="AE33" s="427"/>
      <c r="AF33" s="428"/>
      <c r="AG33" s="428"/>
      <c r="AH33" s="428"/>
      <c r="AI33" s="428"/>
      <c r="AJ33" s="428"/>
      <c r="AK33" s="428"/>
      <c r="AL33" s="428"/>
      <c r="AM33" s="428"/>
      <c r="AN33" s="428"/>
      <c r="AO33" s="428"/>
      <c r="AP33" s="428"/>
      <c r="AQ33" s="428"/>
      <c r="AR33" s="428"/>
      <c r="AS33" s="428"/>
      <c r="AT33" s="428"/>
      <c r="AU33" s="428"/>
      <c r="AV33" s="428"/>
      <c r="AW33" s="428"/>
      <c r="AX33" s="428"/>
      <c r="AY33" s="428"/>
      <c r="AZ33" s="428"/>
      <c r="BA33" s="428"/>
      <c r="BB33" s="428"/>
      <c r="BC33" s="428"/>
      <c r="BD33" s="428"/>
      <c r="BE33" s="428"/>
      <c r="BF33" s="428"/>
      <c r="BG33" s="428"/>
      <c r="BH33" s="428"/>
      <c r="BI33" s="428"/>
      <c r="BJ33" s="428"/>
      <c r="BK33" s="428"/>
      <c r="BL33" s="428"/>
      <c r="BM33" s="428"/>
      <c r="BN33" s="428"/>
    </row>
    <row r="34" spans="1:66" s="413" customFormat="1" ht="195" x14ac:dyDescent="0.2">
      <c r="A34" s="462" t="s">
        <v>145</v>
      </c>
      <c r="B34" s="466" t="s">
        <v>146</v>
      </c>
      <c r="C34" s="467" t="s">
        <v>170</v>
      </c>
      <c r="D34" s="466" t="s">
        <v>171</v>
      </c>
      <c r="E34" s="468"/>
      <c r="F34" s="468"/>
      <c r="G34" s="468">
        <v>1</v>
      </c>
      <c r="H34" s="468"/>
      <c r="I34" s="468"/>
      <c r="J34" s="468"/>
      <c r="K34" s="468"/>
      <c r="L34" s="468"/>
      <c r="M34" s="468"/>
      <c r="N34" s="468"/>
      <c r="O34" s="468"/>
      <c r="P34" s="468"/>
      <c r="Q34" s="423">
        <f t="shared" si="1"/>
        <v>1</v>
      </c>
      <c r="R34" s="424" t="s">
        <v>120</v>
      </c>
      <c r="S34" s="424" t="s">
        <v>143</v>
      </c>
      <c r="T34" s="424"/>
      <c r="U34" s="469"/>
      <c r="V34" s="429" t="s">
        <v>149</v>
      </c>
      <c r="W34" s="426"/>
      <c r="X34" s="415"/>
      <c r="Y34" s="415"/>
      <c r="Z34" s="415"/>
      <c r="AA34" s="415"/>
      <c r="AB34" s="415"/>
      <c r="AC34" s="427"/>
      <c r="AD34" s="427"/>
      <c r="AE34" s="427"/>
      <c r="AF34" s="428"/>
      <c r="AG34" s="428"/>
      <c r="AH34" s="428"/>
      <c r="AI34" s="428"/>
      <c r="AJ34" s="428"/>
      <c r="AK34" s="428"/>
      <c r="AL34" s="428"/>
      <c r="AM34" s="428"/>
      <c r="AN34" s="428"/>
      <c r="AO34" s="428"/>
      <c r="AP34" s="428"/>
      <c r="AQ34" s="428"/>
      <c r="AR34" s="428"/>
      <c r="AS34" s="428"/>
      <c r="AT34" s="428"/>
      <c r="AU34" s="428"/>
      <c r="AV34" s="428"/>
      <c r="AW34" s="428"/>
      <c r="AX34" s="428"/>
      <c r="AY34" s="428"/>
      <c r="AZ34" s="428"/>
      <c r="BA34" s="428"/>
      <c r="BB34" s="428"/>
      <c r="BC34" s="428"/>
      <c r="BD34" s="428"/>
      <c r="BE34" s="428"/>
      <c r="BF34" s="428"/>
      <c r="BG34" s="428"/>
      <c r="BH34" s="428"/>
      <c r="BI34" s="428"/>
      <c r="BJ34" s="428"/>
      <c r="BK34" s="428"/>
      <c r="BL34" s="428"/>
      <c r="BM34" s="428"/>
      <c r="BN34" s="428"/>
    </row>
    <row r="35" spans="1:66" s="413" customFormat="1" ht="195" x14ac:dyDescent="0.2">
      <c r="A35" s="462" t="s">
        <v>145</v>
      </c>
      <c r="B35" s="466" t="s">
        <v>146</v>
      </c>
      <c r="C35" s="467" t="s">
        <v>172</v>
      </c>
      <c r="D35" s="466" t="s">
        <v>173</v>
      </c>
      <c r="E35" s="468"/>
      <c r="F35" s="468"/>
      <c r="G35" s="468"/>
      <c r="H35" s="468"/>
      <c r="I35" s="468">
        <v>1</v>
      </c>
      <c r="J35" s="468"/>
      <c r="K35" s="468"/>
      <c r="L35" s="468"/>
      <c r="M35" s="468"/>
      <c r="N35" s="468"/>
      <c r="O35" s="468"/>
      <c r="P35" s="468"/>
      <c r="Q35" s="423">
        <f t="shared" si="1"/>
        <v>1</v>
      </c>
      <c r="R35" s="424" t="s">
        <v>120</v>
      </c>
      <c r="S35" s="424" t="s">
        <v>143</v>
      </c>
      <c r="T35" s="424"/>
      <c r="U35" s="469"/>
      <c r="V35" s="429" t="s">
        <v>149</v>
      </c>
      <c r="W35" s="426"/>
      <c r="X35" s="415"/>
      <c r="Y35" s="415"/>
      <c r="Z35" s="415"/>
      <c r="AA35" s="415"/>
      <c r="AB35" s="415"/>
      <c r="AC35" s="427"/>
      <c r="AD35" s="427"/>
      <c r="AE35" s="427"/>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8"/>
      <c r="BC35" s="428"/>
      <c r="BD35" s="428"/>
      <c r="BE35" s="428"/>
      <c r="BF35" s="428"/>
      <c r="BG35" s="428"/>
      <c r="BH35" s="428"/>
      <c r="BI35" s="428"/>
      <c r="BJ35" s="428"/>
      <c r="BK35" s="428"/>
      <c r="BL35" s="428"/>
      <c r="BM35" s="428"/>
      <c r="BN35" s="428"/>
    </row>
    <row r="36" spans="1:66" s="413" customFormat="1" ht="195" x14ac:dyDescent="0.2">
      <c r="A36" s="462" t="s">
        <v>145</v>
      </c>
      <c r="B36" s="466" t="s">
        <v>146</v>
      </c>
      <c r="C36" s="467" t="s">
        <v>174</v>
      </c>
      <c r="D36" s="466" t="s">
        <v>175</v>
      </c>
      <c r="E36" s="460"/>
      <c r="F36" s="460"/>
      <c r="G36" s="460"/>
      <c r="H36" s="460"/>
      <c r="I36" s="460"/>
      <c r="J36" s="460"/>
      <c r="K36" s="460"/>
      <c r="L36" s="470">
        <v>1</v>
      </c>
      <c r="M36" s="468"/>
      <c r="N36" s="468"/>
      <c r="O36" s="468"/>
      <c r="P36" s="468"/>
      <c r="Q36" s="423">
        <f t="shared" si="1"/>
        <v>1</v>
      </c>
      <c r="R36" s="424" t="s">
        <v>120</v>
      </c>
      <c r="S36" s="424" t="s">
        <v>143</v>
      </c>
      <c r="T36" s="424"/>
      <c r="U36" s="471" t="s">
        <v>176</v>
      </c>
      <c r="V36" s="429" t="s">
        <v>149</v>
      </c>
      <c r="W36" s="426"/>
      <c r="X36" s="415"/>
      <c r="Y36" s="415"/>
      <c r="Z36" s="415"/>
      <c r="AA36" s="415"/>
      <c r="AB36" s="415"/>
      <c r="AC36" s="427"/>
      <c r="AD36" s="427"/>
      <c r="AE36" s="427"/>
      <c r="AF36" s="428"/>
      <c r="AG36" s="428"/>
      <c r="AH36" s="428"/>
      <c r="AI36" s="428"/>
      <c r="AJ36" s="428"/>
      <c r="AK36" s="428"/>
      <c r="AL36" s="428"/>
      <c r="AM36" s="428"/>
      <c r="AN36" s="428"/>
      <c r="AO36" s="428"/>
      <c r="AP36" s="428"/>
      <c r="AQ36" s="428"/>
      <c r="AR36" s="428"/>
      <c r="AS36" s="428"/>
      <c r="AT36" s="428"/>
      <c r="AU36" s="428"/>
      <c r="AV36" s="428"/>
      <c r="AW36" s="428"/>
      <c r="AX36" s="428"/>
      <c r="AY36" s="428"/>
      <c r="AZ36" s="428"/>
      <c r="BA36" s="428"/>
      <c r="BB36" s="428"/>
      <c r="BC36" s="428"/>
      <c r="BD36" s="428"/>
      <c r="BE36" s="428"/>
      <c r="BF36" s="428"/>
      <c r="BG36" s="428"/>
      <c r="BH36" s="428"/>
      <c r="BI36" s="428"/>
      <c r="BJ36" s="428"/>
      <c r="BK36" s="428"/>
      <c r="BL36" s="428"/>
      <c r="BM36" s="428"/>
      <c r="BN36" s="428"/>
    </row>
    <row r="37" spans="1:66" s="413" customFormat="1" ht="195" x14ac:dyDescent="0.2">
      <c r="A37" s="462" t="s">
        <v>145</v>
      </c>
      <c r="B37" s="466" t="s">
        <v>177</v>
      </c>
      <c r="C37" s="467" t="s">
        <v>178</v>
      </c>
      <c r="D37" s="466" t="s">
        <v>179</v>
      </c>
      <c r="E37" s="468"/>
      <c r="F37" s="468"/>
      <c r="G37" s="468">
        <v>1</v>
      </c>
      <c r="H37" s="468"/>
      <c r="I37" s="468"/>
      <c r="J37" s="468">
        <v>1</v>
      </c>
      <c r="K37" s="468"/>
      <c r="L37" s="468"/>
      <c r="M37" s="468">
        <v>1</v>
      </c>
      <c r="N37" s="468"/>
      <c r="O37" s="468"/>
      <c r="P37" s="468">
        <v>1</v>
      </c>
      <c r="Q37" s="423">
        <f t="shared" si="1"/>
        <v>4</v>
      </c>
      <c r="R37" s="424" t="s">
        <v>112</v>
      </c>
      <c r="S37" s="424" t="s">
        <v>131</v>
      </c>
      <c r="T37" s="424"/>
      <c r="U37" s="469"/>
      <c r="V37" s="429" t="s">
        <v>180</v>
      </c>
      <c r="W37" s="426"/>
      <c r="X37" s="415"/>
      <c r="Y37" s="415"/>
      <c r="Z37" s="415"/>
      <c r="AA37" s="415"/>
      <c r="AB37" s="415"/>
      <c r="AC37" s="427"/>
      <c r="AD37" s="427"/>
      <c r="AE37" s="427"/>
      <c r="AF37" s="428"/>
      <c r="AG37" s="428"/>
      <c r="AH37" s="428"/>
      <c r="AI37" s="428"/>
      <c r="AJ37" s="428"/>
      <c r="AK37" s="428"/>
      <c r="AL37" s="428"/>
      <c r="AM37" s="428"/>
      <c r="AN37" s="428"/>
      <c r="AO37" s="428"/>
      <c r="AP37" s="428"/>
      <c r="AQ37" s="428"/>
      <c r="AR37" s="428"/>
      <c r="AS37" s="428"/>
      <c r="AT37" s="428"/>
      <c r="AU37" s="428"/>
      <c r="AV37" s="428"/>
      <c r="AW37" s="428"/>
      <c r="AX37" s="428"/>
      <c r="AY37" s="428"/>
      <c r="AZ37" s="428"/>
      <c r="BA37" s="428"/>
      <c r="BB37" s="428"/>
      <c r="BC37" s="428"/>
      <c r="BD37" s="428"/>
      <c r="BE37" s="428"/>
      <c r="BF37" s="428"/>
      <c r="BG37" s="428"/>
      <c r="BH37" s="428"/>
      <c r="BI37" s="428"/>
      <c r="BJ37" s="428"/>
      <c r="BK37" s="428"/>
      <c r="BL37" s="428"/>
      <c r="BM37" s="428"/>
      <c r="BN37" s="428"/>
    </row>
    <row r="38" spans="1:66" s="413" customFormat="1" ht="195" x14ac:dyDescent="0.2">
      <c r="A38" s="462" t="s">
        <v>145</v>
      </c>
      <c r="B38" s="466" t="s">
        <v>177</v>
      </c>
      <c r="C38" s="467" t="s">
        <v>181</v>
      </c>
      <c r="D38" s="466" t="s">
        <v>182</v>
      </c>
      <c r="E38" s="468"/>
      <c r="F38" s="468"/>
      <c r="G38" s="468">
        <v>1</v>
      </c>
      <c r="H38" s="468"/>
      <c r="I38" s="468"/>
      <c r="J38" s="468">
        <v>1</v>
      </c>
      <c r="K38" s="468"/>
      <c r="L38" s="468"/>
      <c r="M38" s="468">
        <v>1</v>
      </c>
      <c r="N38" s="468"/>
      <c r="O38" s="468"/>
      <c r="P38" s="468">
        <v>1</v>
      </c>
      <c r="Q38" s="423">
        <f t="shared" si="1"/>
        <v>4</v>
      </c>
      <c r="R38" s="424" t="s">
        <v>112</v>
      </c>
      <c r="S38" s="424"/>
      <c r="T38" s="424"/>
      <c r="U38" s="469"/>
      <c r="V38" s="429" t="s">
        <v>180</v>
      </c>
      <c r="W38" s="426"/>
      <c r="X38" s="415"/>
      <c r="Y38" s="415"/>
      <c r="Z38" s="415"/>
      <c r="AA38" s="415"/>
      <c r="AB38" s="415"/>
      <c r="AC38" s="427"/>
      <c r="AD38" s="427"/>
      <c r="AE38" s="427"/>
      <c r="AF38" s="428"/>
      <c r="AG38" s="428"/>
      <c r="AH38" s="428"/>
      <c r="AI38" s="428"/>
      <c r="AJ38" s="428"/>
      <c r="AK38" s="428"/>
      <c r="AL38" s="428"/>
      <c r="AM38" s="428"/>
      <c r="AN38" s="428"/>
      <c r="AO38" s="428"/>
      <c r="AP38" s="428"/>
      <c r="AQ38" s="428"/>
      <c r="AR38" s="428"/>
      <c r="AS38" s="428"/>
      <c r="AT38" s="428"/>
      <c r="AU38" s="428"/>
      <c r="AV38" s="428"/>
      <c r="AW38" s="428"/>
      <c r="AX38" s="428"/>
      <c r="AY38" s="428"/>
      <c r="AZ38" s="428"/>
      <c r="BA38" s="428"/>
      <c r="BB38" s="428"/>
      <c r="BC38" s="428"/>
      <c r="BD38" s="428"/>
      <c r="BE38" s="428"/>
      <c r="BF38" s="428"/>
      <c r="BG38" s="428"/>
      <c r="BH38" s="428"/>
      <c r="BI38" s="428"/>
      <c r="BJ38" s="428"/>
      <c r="BK38" s="428"/>
      <c r="BL38" s="428"/>
      <c r="BM38" s="428"/>
      <c r="BN38" s="428"/>
    </row>
    <row r="39" spans="1:66" s="413" customFormat="1" ht="195" x14ac:dyDescent="0.2">
      <c r="A39" s="462" t="s">
        <v>145</v>
      </c>
      <c r="B39" s="466" t="s">
        <v>177</v>
      </c>
      <c r="C39" s="467" t="s">
        <v>183</v>
      </c>
      <c r="D39" s="466" t="s">
        <v>184</v>
      </c>
      <c r="E39" s="468"/>
      <c r="F39" s="468"/>
      <c r="G39" s="468"/>
      <c r="H39" s="468">
        <v>1</v>
      </c>
      <c r="I39" s="468"/>
      <c r="J39" s="468"/>
      <c r="K39" s="468">
        <v>1</v>
      </c>
      <c r="L39" s="468"/>
      <c r="M39" s="468"/>
      <c r="N39" s="468">
        <v>1</v>
      </c>
      <c r="O39" s="468"/>
      <c r="P39" s="468"/>
      <c r="Q39" s="423">
        <f t="shared" si="1"/>
        <v>3</v>
      </c>
      <c r="R39" s="424" t="s">
        <v>131</v>
      </c>
      <c r="S39" s="424"/>
      <c r="T39" s="424"/>
      <c r="U39" s="469"/>
      <c r="V39" s="429" t="s">
        <v>180</v>
      </c>
      <c r="W39" s="426"/>
      <c r="X39" s="415"/>
      <c r="Y39" s="415"/>
      <c r="Z39" s="415"/>
      <c r="AA39" s="415"/>
      <c r="AB39" s="415"/>
      <c r="AC39" s="427"/>
      <c r="AD39" s="427"/>
      <c r="AE39" s="427"/>
      <c r="AF39" s="428"/>
      <c r="AG39" s="428"/>
      <c r="AH39" s="428"/>
      <c r="AI39" s="428"/>
      <c r="AJ39" s="428"/>
      <c r="AK39" s="428"/>
      <c r="AL39" s="428"/>
      <c r="AM39" s="428"/>
      <c r="AN39" s="428"/>
      <c r="AO39" s="428"/>
      <c r="AP39" s="428"/>
      <c r="AQ39" s="428"/>
      <c r="AR39" s="428"/>
      <c r="AS39" s="428"/>
      <c r="AT39" s="428"/>
      <c r="AU39" s="428"/>
      <c r="AV39" s="428"/>
      <c r="AW39" s="428"/>
      <c r="AX39" s="428"/>
      <c r="AY39" s="428"/>
      <c r="AZ39" s="428"/>
      <c r="BA39" s="428"/>
      <c r="BB39" s="428"/>
      <c r="BC39" s="428"/>
      <c r="BD39" s="428"/>
      <c r="BE39" s="428"/>
      <c r="BF39" s="428"/>
      <c r="BG39" s="428"/>
      <c r="BH39" s="428"/>
      <c r="BI39" s="428"/>
      <c r="BJ39" s="428"/>
      <c r="BK39" s="428"/>
      <c r="BL39" s="428"/>
      <c r="BM39" s="428"/>
      <c r="BN39" s="428"/>
    </row>
    <row r="40" spans="1:66" s="413" customFormat="1" ht="195" x14ac:dyDescent="0.2">
      <c r="A40" s="462" t="s">
        <v>145</v>
      </c>
      <c r="B40" s="466" t="s">
        <v>177</v>
      </c>
      <c r="C40" s="467" t="s">
        <v>185</v>
      </c>
      <c r="D40" s="466" t="s">
        <v>186</v>
      </c>
      <c r="E40" s="468"/>
      <c r="F40" s="468"/>
      <c r="G40" s="468"/>
      <c r="H40" s="468"/>
      <c r="I40" s="468"/>
      <c r="J40" s="468">
        <v>1</v>
      </c>
      <c r="K40" s="468"/>
      <c r="L40" s="468"/>
      <c r="M40" s="468">
        <v>1</v>
      </c>
      <c r="N40" s="468"/>
      <c r="O40" s="468"/>
      <c r="P40" s="468">
        <v>1</v>
      </c>
      <c r="Q40" s="423">
        <f t="shared" si="1"/>
        <v>3</v>
      </c>
      <c r="R40" s="424" t="s">
        <v>112</v>
      </c>
      <c r="S40" s="424" t="s">
        <v>131</v>
      </c>
      <c r="T40" s="424"/>
      <c r="U40" s="469"/>
      <c r="V40" s="429" t="s">
        <v>180</v>
      </c>
      <c r="W40" s="426"/>
      <c r="X40" s="415"/>
      <c r="Y40" s="415"/>
      <c r="Z40" s="415"/>
      <c r="AA40" s="415"/>
      <c r="AB40" s="415"/>
      <c r="AC40" s="427"/>
      <c r="AD40" s="427"/>
      <c r="AE40" s="427"/>
      <c r="AF40" s="428"/>
      <c r="AG40" s="428"/>
      <c r="AH40" s="428"/>
      <c r="AI40" s="428"/>
      <c r="AJ40" s="428"/>
      <c r="AK40" s="428"/>
      <c r="AL40" s="428"/>
      <c r="AM40" s="428"/>
      <c r="AN40" s="428"/>
      <c r="AO40" s="428"/>
      <c r="AP40" s="428"/>
      <c r="AQ40" s="428"/>
      <c r="AR40" s="428"/>
      <c r="AS40" s="428"/>
      <c r="AT40" s="428"/>
      <c r="AU40" s="428"/>
      <c r="AV40" s="428"/>
      <c r="AW40" s="428"/>
      <c r="AX40" s="428"/>
      <c r="AY40" s="428"/>
      <c r="AZ40" s="428"/>
      <c r="BA40" s="428"/>
      <c r="BB40" s="428"/>
      <c r="BC40" s="428"/>
      <c r="BD40" s="428"/>
      <c r="BE40" s="428"/>
      <c r="BF40" s="428"/>
      <c r="BG40" s="428"/>
      <c r="BH40" s="428"/>
      <c r="BI40" s="428"/>
      <c r="BJ40" s="428"/>
      <c r="BK40" s="428"/>
      <c r="BL40" s="428"/>
      <c r="BM40" s="428"/>
      <c r="BN40" s="428"/>
    </row>
    <row r="41" spans="1:66" s="413" customFormat="1" ht="195" x14ac:dyDescent="0.2">
      <c r="A41" s="462" t="s">
        <v>145</v>
      </c>
      <c r="B41" s="466" t="s">
        <v>177</v>
      </c>
      <c r="C41" s="467" t="s">
        <v>187</v>
      </c>
      <c r="D41" s="466" t="s">
        <v>188</v>
      </c>
      <c r="E41" s="468">
        <v>1</v>
      </c>
      <c r="F41" s="468">
        <v>1</v>
      </c>
      <c r="G41" s="468">
        <v>1</v>
      </c>
      <c r="H41" s="468">
        <v>1</v>
      </c>
      <c r="I41" s="468">
        <v>1</v>
      </c>
      <c r="J41" s="468">
        <v>1</v>
      </c>
      <c r="K41" s="468">
        <v>1</v>
      </c>
      <c r="L41" s="468">
        <v>1</v>
      </c>
      <c r="M41" s="468">
        <v>1</v>
      </c>
      <c r="N41" s="468">
        <v>1</v>
      </c>
      <c r="O41" s="468">
        <v>1</v>
      </c>
      <c r="P41" s="468">
        <v>1</v>
      </c>
      <c r="Q41" s="423">
        <f t="shared" si="1"/>
        <v>12</v>
      </c>
      <c r="R41" s="424" t="s">
        <v>101</v>
      </c>
      <c r="S41" s="424"/>
      <c r="T41" s="424"/>
      <c r="U41" s="469"/>
      <c r="V41" s="429" t="s">
        <v>180</v>
      </c>
      <c r="W41" s="426"/>
      <c r="X41" s="415"/>
      <c r="Y41" s="415"/>
      <c r="Z41" s="415"/>
      <c r="AA41" s="415"/>
      <c r="AB41" s="415"/>
      <c r="AC41" s="427"/>
      <c r="AD41" s="427"/>
      <c r="AE41" s="427"/>
      <c r="AF41" s="428"/>
      <c r="AG41" s="428"/>
      <c r="AH41" s="428"/>
      <c r="AI41" s="428"/>
      <c r="AJ41" s="428"/>
      <c r="AK41" s="428"/>
      <c r="AL41" s="428"/>
      <c r="AM41" s="428"/>
      <c r="AN41" s="428"/>
      <c r="AO41" s="428"/>
      <c r="AP41" s="428"/>
      <c r="AQ41" s="428"/>
      <c r="AR41" s="428"/>
      <c r="AS41" s="428"/>
      <c r="AT41" s="428"/>
      <c r="AU41" s="428"/>
      <c r="AV41" s="428"/>
      <c r="AW41" s="428"/>
      <c r="AX41" s="428"/>
      <c r="AY41" s="428"/>
      <c r="AZ41" s="428"/>
      <c r="BA41" s="428"/>
      <c r="BB41" s="428"/>
      <c r="BC41" s="428"/>
      <c r="BD41" s="428"/>
      <c r="BE41" s="428"/>
      <c r="BF41" s="428"/>
      <c r="BG41" s="428"/>
      <c r="BH41" s="428"/>
      <c r="BI41" s="428"/>
      <c r="BJ41" s="428"/>
      <c r="BK41" s="428"/>
      <c r="BL41" s="428"/>
      <c r="BM41" s="428"/>
      <c r="BN41" s="428"/>
    </row>
    <row r="42" spans="1:66" s="413" customFormat="1" ht="195" x14ac:dyDescent="0.2">
      <c r="A42" s="462" t="s">
        <v>145</v>
      </c>
      <c r="B42" s="466" t="s">
        <v>177</v>
      </c>
      <c r="C42" s="467" t="s">
        <v>189</v>
      </c>
      <c r="D42" s="466" t="s">
        <v>190</v>
      </c>
      <c r="E42" s="468"/>
      <c r="F42" s="468"/>
      <c r="G42" s="468"/>
      <c r="H42" s="468"/>
      <c r="I42" s="468"/>
      <c r="J42" s="468">
        <v>1</v>
      </c>
      <c r="K42" s="468"/>
      <c r="L42" s="468"/>
      <c r="M42" s="468"/>
      <c r="N42" s="468"/>
      <c r="O42" s="468"/>
      <c r="P42" s="468">
        <v>1</v>
      </c>
      <c r="Q42" s="423">
        <f t="shared" si="1"/>
        <v>2</v>
      </c>
      <c r="R42" s="424" t="s">
        <v>112</v>
      </c>
      <c r="S42" s="424"/>
      <c r="T42" s="424"/>
      <c r="U42" s="469"/>
      <c r="V42" s="429" t="s">
        <v>180</v>
      </c>
      <c r="W42" s="426"/>
      <c r="X42" s="415"/>
      <c r="Y42" s="415"/>
      <c r="Z42" s="415"/>
      <c r="AA42" s="415"/>
      <c r="AB42" s="415"/>
      <c r="AC42" s="427"/>
      <c r="AD42" s="427"/>
      <c r="AE42" s="427"/>
      <c r="AF42" s="428"/>
      <c r="AG42" s="428"/>
      <c r="AH42" s="428"/>
      <c r="AI42" s="428"/>
      <c r="AJ42" s="428"/>
      <c r="AK42" s="428"/>
      <c r="AL42" s="428"/>
      <c r="AM42" s="428"/>
      <c r="AN42" s="428"/>
      <c r="AO42" s="428"/>
      <c r="AP42" s="428"/>
      <c r="AQ42" s="428"/>
      <c r="AR42" s="428"/>
      <c r="AS42" s="428"/>
      <c r="AT42" s="428"/>
      <c r="AU42" s="428"/>
      <c r="AV42" s="428"/>
      <c r="AW42" s="428"/>
      <c r="AX42" s="428"/>
      <c r="AY42" s="428"/>
      <c r="AZ42" s="428"/>
      <c r="BA42" s="428"/>
      <c r="BB42" s="428"/>
      <c r="BC42" s="428"/>
      <c r="BD42" s="428"/>
      <c r="BE42" s="428"/>
      <c r="BF42" s="428"/>
      <c r="BG42" s="428"/>
      <c r="BH42" s="428"/>
      <c r="BI42" s="428"/>
      <c r="BJ42" s="428"/>
      <c r="BK42" s="428"/>
      <c r="BL42" s="428"/>
      <c r="BM42" s="428"/>
      <c r="BN42" s="428"/>
    </row>
    <row r="43" spans="1:66" s="413" customFormat="1" ht="195" x14ac:dyDescent="0.2">
      <c r="A43" s="462" t="s">
        <v>145</v>
      </c>
      <c r="B43" s="466" t="s">
        <v>177</v>
      </c>
      <c r="C43" s="467" t="s">
        <v>191</v>
      </c>
      <c r="D43" s="466" t="s">
        <v>192</v>
      </c>
      <c r="E43" s="468"/>
      <c r="F43" s="468"/>
      <c r="G43" s="468">
        <v>1</v>
      </c>
      <c r="H43" s="468"/>
      <c r="I43" s="468"/>
      <c r="J43" s="468">
        <v>1</v>
      </c>
      <c r="K43" s="468"/>
      <c r="L43" s="468"/>
      <c r="M43" s="468">
        <v>1</v>
      </c>
      <c r="N43" s="468"/>
      <c r="O43" s="468"/>
      <c r="P43" s="468">
        <v>1</v>
      </c>
      <c r="Q43" s="423">
        <f t="shared" si="1"/>
        <v>4</v>
      </c>
      <c r="R43" s="424" t="s">
        <v>112</v>
      </c>
      <c r="S43" s="424"/>
      <c r="T43" s="424"/>
      <c r="U43" s="469"/>
      <c r="V43" s="429" t="s">
        <v>180</v>
      </c>
      <c r="W43" s="426"/>
      <c r="X43" s="415"/>
      <c r="Y43" s="415"/>
      <c r="Z43" s="415"/>
      <c r="AA43" s="415"/>
      <c r="AB43" s="415"/>
      <c r="AC43" s="427"/>
      <c r="AD43" s="427"/>
      <c r="AE43" s="427"/>
      <c r="AF43" s="428"/>
      <c r="AG43" s="428"/>
      <c r="AH43" s="428"/>
      <c r="AI43" s="428"/>
      <c r="AJ43" s="428"/>
      <c r="AK43" s="428"/>
      <c r="AL43" s="428"/>
      <c r="AM43" s="428"/>
      <c r="AN43" s="428"/>
      <c r="AO43" s="428"/>
      <c r="AP43" s="428"/>
      <c r="AQ43" s="428"/>
      <c r="AR43" s="428"/>
      <c r="AS43" s="428"/>
      <c r="AT43" s="428"/>
      <c r="AU43" s="428"/>
      <c r="AV43" s="428"/>
      <c r="AW43" s="428"/>
      <c r="AX43" s="428"/>
      <c r="AY43" s="428"/>
      <c r="AZ43" s="428"/>
      <c r="BA43" s="428"/>
      <c r="BB43" s="428"/>
      <c r="BC43" s="428"/>
      <c r="BD43" s="428"/>
      <c r="BE43" s="428"/>
      <c r="BF43" s="428"/>
      <c r="BG43" s="428"/>
      <c r="BH43" s="428"/>
      <c r="BI43" s="428"/>
      <c r="BJ43" s="428"/>
      <c r="BK43" s="428"/>
      <c r="BL43" s="428"/>
      <c r="BM43" s="428"/>
      <c r="BN43" s="428"/>
    </row>
    <row r="44" spans="1:66" s="413" customFormat="1" ht="195" x14ac:dyDescent="0.2">
      <c r="A44" s="462" t="s">
        <v>145</v>
      </c>
      <c r="B44" s="466" t="s">
        <v>177</v>
      </c>
      <c r="C44" s="467" t="s">
        <v>193</v>
      </c>
      <c r="D44" s="466" t="s">
        <v>194</v>
      </c>
      <c r="E44" s="468"/>
      <c r="F44" s="468"/>
      <c r="G44" s="468">
        <v>1</v>
      </c>
      <c r="H44" s="468"/>
      <c r="I44" s="468"/>
      <c r="J44" s="468">
        <v>1</v>
      </c>
      <c r="K44" s="468"/>
      <c r="L44" s="468"/>
      <c r="M44" s="468">
        <v>1</v>
      </c>
      <c r="N44" s="468"/>
      <c r="O44" s="468"/>
      <c r="P44" s="468">
        <v>1</v>
      </c>
      <c r="Q44" s="423">
        <f t="shared" si="1"/>
        <v>4</v>
      </c>
      <c r="R44" s="424" t="s">
        <v>101</v>
      </c>
      <c r="S44" s="424"/>
      <c r="T44" s="424" t="s">
        <v>195</v>
      </c>
      <c r="U44" s="469"/>
      <c r="V44" s="429" t="s">
        <v>180</v>
      </c>
      <c r="W44" s="426"/>
      <c r="X44" s="415"/>
      <c r="Y44" s="415"/>
      <c r="Z44" s="415"/>
      <c r="AA44" s="415"/>
      <c r="AB44" s="415"/>
      <c r="AC44" s="427"/>
      <c r="AD44" s="427"/>
      <c r="AE44" s="427"/>
      <c r="AF44" s="428"/>
      <c r="AG44" s="428"/>
      <c r="AH44" s="428"/>
      <c r="AI44" s="428"/>
      <c r="AJ44" s="428"/>
      <c r="AK44" s="428"/>
      <c r="AL44" s="428"/>
      <c r="AM44" s="428"/>
      <c r="AN44" s="428"/>
      <c r="AO44" s="428"/>
      <c r="AP44" s="428"/>
      <c r="AQ44" s="428"/>
      <c r="AR44" s="428"/>
      <c r="AS44" s="428"/>
      <c r="AT44" s="428"/>
      <c r="AU44" s="428"/>
      <c r="AV44" s="428"/>
      <c r="AW44" s="428"/>
      <c r="AX44" s="428"/>
      <c r="AY44" s="428"/>
      <c r="AZ44" s="428"/>
      <c r="BA44" s="428"/>
      <c r="BB44" s="428"/>
      <c r="BC44" s="428"/>
      <c r="BD44" s="428"/>
      <c r="BE44" s="428"/>
      <c r="BF44" s="428"/>
      <c r="BG44" s="428"/>
      <c r="BH44" s="428"/>
      <c r="BI44" s="428"/>
      <c r="BJ44" s="428"/>
      <c r="BK44" s="428"/>
      <c r="BL44" s="428"/>
      <c r="BM44" s="428"/>
      <c r="BN44" s="428"/>
    </row>
    <row r="45" spans="1:66" s="413" customFormat="1" ht="195" x14ac:dyDescent="0.2">
      <c r="A45" s="462" t="s">
        <v>145</v>
      </c>
      <c r="B45" s="466" t="s">
        <v>177</v>
      </c>
      <c r="C45" s="467" t="s">
        <v>196</v>
      </c>
      <c r="D45" s="466" t="s">
        <v>197</v>
      </c>
      <c r="E45" s="468"/>
      <c r="F45" s="468"/>
      <c r="G45" s="468">
        <v>1</v>
      </c>
      <c r="H45" s="468"/>
      <c r="I45" s="468"/>
      <c r="J45" s="468">
        <v>1</v>
      </c>
      <c r="K45" s="468"/>
      <c r="L45" s="468"/>
      <c r="M45" s="468">
        <v>1</v>
      </c>
      <c r="N45" s="468"/>
      <c r="O45" s="468"/>
      <c r="P45" s="468">
        <v>1</v>
      </c>
      <c r="Q45" s="423">
        <f t="shared" si="1"/>
        <v>4</v>
      </c>
      <c r="R45" s="424" t="s">
        <v>112</v>
      </c>
      <c r="S45" s="424"/>
      <c r="T45" s="424"/>
      <c r="U45" s="469"/>
      <c r="V45" s="429" t="s">
        <v>180</v>
      </c>
      <c r="W45" s="426"/>
      <c r="X45" s="415"/>
      <c r="Y45" s="415"/>
      <c r="Z45" s="415"/>
      <c r="AA45" s="415"/>
      <c r="AB45" s="415"/>
      <c r="AC45" s="427"/>
      <c r="AD45" s="427"/>
      <c r="AE45" s="427"/>
      <c r="AF45" s="428"/>
      <c r="AG45" s="428"/>
      <c r="AH45" s="428"/>
      <c r="AI45" s="428"/>
      <c r="AJ45" s="428"/>
      <c r="AK45" s="428"/>
      <c r="AL45" s="428"/>
      <c r="AM45" s="428"/>
      <c r="AN45" s="428"/>
      <c r="AO45" s="428"/>
      <c r="AP45" s="428"/>
      <c r="AQ45" s="428"/>
      <c r="AR45" s="428"/>
      <c r="AS45" s="428"/>
      <c r="AT45" s="428"/>
      <c r="AU45" s="428"/>
      <c r="AV45" s="428"/>
      <c r="AW45" s="428"/>
      <c r="AX45" s="428"/>
      <c r="AY45" s="428"/>
      <c r="AZ45" s="428"/>
      <c r="BA45" s="428"/>
      <c r="BB45" s="428"/>
      <c r="BC45" s="428"/>
      <c r="BD45" s="428"/>
      <c r="BE45" s="428"/>
      <c r="BF45" s="428"/>
      <c r="BG45" s="428"/>
      <c r="BH45" s="428"/>
      <c r="BI45" s="428"/>
      <c r="BJ45" s="428"/>
      <c r="BK45" s="428"/>
      <c r="BL45" s="428"/>
      <c r="BM45" s="428"/>
      <c r="BN45" s="428"/>
    </row>
    <row r="46" spans="1:66" s="413" customFormat="1" ht="195" x14ac:dyDescent="0.2">
      <c r="A46" s="462" t="s">
        <v>145</v>
      </c>
      <c r="B46" s="466" t="s">
        <v>177</v>
      </c>
      <c r="C46" s="467" t="s">
        <v>198</v>
      </c>
      <c r="D46" s="466" t="s">
        <v>199</v>
      </c>
      <c r="E46" s="468"/>
      <c r="F46" s="468"/>
      <c r="G46" s="468"/>
      <c r="H46" s="468">
        <v>1</v>
      </c>
      <c r="I46" s="468"/>
      <c r="J46" s="468"/>
      <c r="K46" s="468">
        <v>1</v>
      </c>
      <c r="L46" s="468"/>
      <c r="M46" s="468"/>
      <c r="N46" s="468">
        <v>1</v>
      </c>
      <c r="O46" s="468"/>
      <c r="P46" s="468">
        <v>1</v>
      </c>
      <c r="Q46" s="423">
        <f t="shared" si="1"/>
        <v>4</v>
      </c>
      <c r="R46" s="424" t="s">
        <v>131</v>
      </c>
      <c r="S46" s="424"/>
      <c r="T46" s="424"/>
      <c r="U46" s="469"/>
      <c r="V46" s="429" t="s">
        <v>180</v>
      </c>
      <c r="W46" s="426"/>
      <c r="X46" s="415"/>
      <c r="Y46" s="415"/>
      <c r="Z46" s="415"/>
      <c r="AA46" s="415"/>
      <c r="AB46" s="415"/>
      <c r="AC46" s="427"/>
      <c r="AD46" s="427"/>
      <c r="AE46" s="427"/>
      <c r="AF46" s="428"/>
      <c r="AG46" s="428"/>
      <c r="AH46" s="428"/>
      <c r="AI46" s="428"/>
      <c r="AJ46" s="428"/>
      <c r="AK46" s="428"/>
      <c r="AL46" s="428"/>
      <c r="AM46" s="428"/>
      <c r="AN46" s="428"/>
      <c r="AO46" s="428"/>
      <c r="AP46" s="428"/>
      <c r="AQ46" s="428"/>
      <c r="AR46" s="428"/>
      <c r="AS46" s="428"/>
      <c r="AT46" s="428"/>
      <c r="AU46" s="428"/>
      <c r="AV46" s="428"/>
      <c r="AW46" s="428"/>
      <c r="AX46" s="428"/>
      <c r="AY46" s="428"/>
      <c r="AZ46" s="428"/>
      <c r="BA46" s="428"/>
      <c r="BB46" s="428"/>
      <c r="BC46" s="428"/>
      <c r="BD46" s="428"/>
      <c r="BE46" s="428"/>
      <c r="BF46" s="428"/>
      <c r="BG46" s="428"/>
      <c r="BH46" s="428"/>
      <c r="BI46" s="428"/>
      <c r="BJ46" s="428"/>
      <c r="BK46" s="428"/>
      <c r="BL46" s="428"/>
      <c r="BM46" s="428"/>
      <c r="BN46" s="428"/>
    </row>
    <row r="47" spans="1:66" s="413" customFormat="1" ht="195" x14ac:dyDescent="0.2">
      <c r="A47" s="462" t="s">
        <v>145</v>
      </c>
      <c r="B47" s="466" t="s">
        <v>177</v>
      </c>
      <c r="C47" s="467" t="s">
        <v>200</v>
      </c>
      <c r="D47" s="466" t="s">
        <v>201</v>
      </c>
      <c r="E47" s="468"/>
      <c r="F47" s="468"/>
      <c r="G47" s="468"/>
      <c r="H47" s="468"/>
      <c r="I47" s="468">
        <v>1</v>
      </c>
      <c r="J47" s="468"/>
      <c r="K47" s="468"/>
      <c r="L47" s="468">
        <v>1</v>
      </c>
      <c r="M47" s="468"/>
      <c r="N47" s="468"/>
      <c r="O47" s="468"/>
      <c r="P47" s="468">
        <v>1</v>
      </c>
      <c r="Q47" s="423">
        <f t="shared" si="1"/>
        <v>3</v>
      </c>
      <c r="R47" s="424" t="s">
        <v>112</v>
      </c>
      <c r="S47" s="424" t="s">
        <v>131</v>
      </c>
      <c r="T47" s="424"/>
      <c r="U47" s="469"/>
      <c r="V47" s="429" t="s">
        <v>180</v>
      </c>
      <c r="W47" s="426"/>
      <c r="X47" s="415"/>
      <c r="Y47" s="415"/>
      <c r="Z47" s="415"/>
      <c r="AA47" s="415"/>
      <c r="AB47" s="415"/>
      <c r="AC47" s="427"/>
      <c r="AD47" s="427"/>
      <c r="AE47" s="427"/>
      <c r="AF47" s="428"/>
      <c r="AG47" s="428"/>
      <c r="AH47" s="428"/>
      <c r="AI47" s="428"/>
      <c r="AJ47" s="428"/>
      <c r="AK47" s="428"/>
      <c r="AL47" s="428"/>
      <c r="AM47" s="428"/>
      <c r="AN47" s="428"/>
      <c r="AO47" s="428"/>
      <c r="AP47" s="428"/>
      <c r="AQ47" s="428"/>
      <c r="AR47" s="428"/>
      <c r="AS47" s="428"/>
      <c r="AT47" s="428"/>
      <c r="AU47" s="428"/>
      <c r="AV47" s="428"/>
      <c r="AW47" s="428"/>
      <c r="AX47" s="428"/>
      <c r="AY47" s="428"/>
      <c r="AZ47" s="428"/>
      <c r="BA47" s="428"/>
      <c r="BB47" s="428"/>
      <c r="BC47" s="428"/>
      <c r="BD47" s="428"/>
      <c r="BE47" s="428"/>
      <c r="BF47" s="428"/>
      <c r="BG47" s="428"/>
      <c r="BH47" s="428"/>
      <c r="BI47" s="428"/>
      <c r="BJ47" s="428"/>
      <c r="BK47" s="428"/>
      <c r="BL47" s="428"/>
      <c r="BM47" s="428"/>
      <c r="BN47" s="428"/>
    </row>
    <row r="48" spans="1:66" s="413" customFormat="1" ht="195" x14ac:dyDescent="0.2">
      <c r="A48" s="462" t="s">
        <v>145</v>
      </c>
      <c r="B48" s="466" t="s">
        <v>177</v>
      </c>
      <c r="C48" s="467" t="s">
        <v>202</v>
      </c>
      <c r="D48" s="466" t="s">
        <v>203</v>
      </c>
      <c r="E48" s="468">
        <v>1</v>
      </c>
      <c r="F48" s="468">
        <v>1</v>
      </c>
      <c r="G48" s="468">
        <v>1</v>
      </c>
      <c r="H48" s="468">
        <v>1</v>
      </c>
      <c r="I48" s="468">
        <v>1</v>
      </c>
      <c r="J48" s="468">
        <v>1</v>
      </c>
      <c r="K48" s="468">
        <v>1</v>
      </c>
      <c r="L48" s="468">
        <v>1</v>
      </c>
      <c r="M48" s="468">
        <v>1</v>
      </c>
      <c r="N48" s="468">
        <v>1</v>
      </c>
      <c r="O48" s="468">
        <v>1</v>
      </c>
      <c r="P48" s="468">
        <v>1</v>
      </c>
      <c r="Q48" s="423">
        <f t="shared" si="1"/>
        <v>12</v>
      </c>
      <c r="R48" s="424" t="s">
        <v>112</v>
      </c>
      <c r="S48" s="424"/>
      <c r="T48" s="424"/>
      <c r="U48" s="469"/>
      <c r="V48" s="429" t="s">
        <v>180</v>
      </c>
      <c r="W48" s="426"/>
      <c r="X48" s="415"/>
      <c r="Y48" s="415"/>
      <c r="Z48" s="415"/>
      <c r="AA48" s="415"/>
      <c r="AB48" s="415"/>
      <c r="AC48" s="427"/>
      <c r="AD48" s="427"/>
      <c r="AE48" s="427"/>
      <c r="AF48" s="428"/>
      <c r="AG48" s="428"/>
      <c r="AH48" s="428"/>
      <c r="AI48" s="428"/>
      <c r="AJ48" s="428"/>
      <c r="AK48" s="428"/>
      <c r="AL48" s="428"/>
      <c r="AM48" s="428"/>
      <c r="AN48" s="428"/>
      <c r="AO48" s="428"/>
      <c r="AP48" s="428"/>
      <c r="AQ48" s="428"/>
      <c r="AR48" s="428"/>
      <c r="AS48" s="428"/>
      <c r="AT48" s="428"/>
      <c r="AU48" s="428"/>
      <c r="AV48" s="428"/>
      <c r="AW48" s="428"/>
      <c r="AX48" s="428"/>
      <c r="AY48" s="428"/>
      <c r="AZ48" s="428"/>
      <c r="BA48" s="428"/>
      <c r="BB48" s="428"/>
      <c r="BC48" s="428"/>
      <c r="BD48" s="428"/>
      <c r="BE48" s="428"/>
      <c r="BF48" s="428"/>
      <c r="BG48" s="428"/>
      <c r="BH48" s="428"/>
      <c r="BI48" s="428"/>
      <c r="BJ48" s="428"/>
      <c r="BK48" s="428"/>
      <c r="BL48" s="428"/>
      <c r="BM48" s="428"/>
      <c r="BN48" s="428"/>
    </row>
    <row r="49" spans="1:66" s="413" customFormat="1" ht="195" x14ac:dyDescent="0.2">
      <c r="A49" s="462" t="s">
        <v>145</v>
      </c>
      <c r="B49" s="466" t="s">
        <v>177</v>
      </c>
      <c r="C49" s="467" t="s">
        <v>204</v>
      </c>
      <c r="D49" s="466" t="s">
        <v>205</v>
      </c>
      <c r="E49" s="468"/>
      <c r="F49" s="468"/>
      <c r="G49" s="468">
        <v>1</v>
      </c>
      <c r="H49" s="468"/>
      <c r="I49" s="468"/>
      <c r="J49" s="468">
        <v>1</v>
      </c>
      <c r="K49" s="468"/>
      <c r="L49" s="468"/>
      <c r="M49" s="468">
        <v>1</v>
      </c>
      <c r="N49" s="468"/>
      <c r="O49" s="468"/>
      <c r="P49" s="468">
        <v>1</v>
      </c>
      <c r="Q49" s="423">
        <f t="shared" si="1"/>
        <v>4</v>
      </c>
      <c r="R49" s="424" t="s">
        <v>131</v>
      </c>
      <c r="S49" s="424"/>
      <c r="T49" s="424"/>
      <c r="U49" s="469"/>
      <c r="V49" s="429" t="s">
        <v>180</v>
      </c>
      <c r="W49" s="426"/>
      <c r="X49" s="415"/>
      <c r="Y49" s="415"/>
      <c r="Z49" s="415"/>
      <c r="AA49" s="415"/>
      <c r="AB49" s="415"/>
      <c r="AC49" s="427"/>
      <c r="AD49" s="427"/>
      <c r="AE49" s="427"/>
      <c r="AF49" s="428"/>
      <c r="AG49" s="428"/>
      <c r="AH49" s="428"/>
      <c r="AI49" s="428"/>
      <c r="AJ49" s="428"/>
      <c r="AK49" s="428"/>
      <c r="AL49" s="428"/>
      <c r="AM49" s="428"/>
      <c r="AN49" s="428"/>
      <c r="AO49" s="428"/>
      <c r="AP49" s="428"/>
      <c r="AQ49" s="428"/>
      <c r="AR49" s="428"/>
      <c r="AS49" s="428"/>
      <c r="AT49" s="428"/>
      <c r="AU49" s="428"/>
      <c r="AV49" s="428"/>
      <c r="AW49" s="428"/>
      <c r="AX49" s="428"/>
      <c r="AY49" s="428"/>
      <c r="AZ49" s="428"/>
      <c r="BA49" s="428"/>
      <c r="BB49" s="428"/>
      <c r="BC49" s="428"/>
      <c r="BD49" s="428"/>
      <c r="BE49" s="428"/>
      <c r="BF49" s="428"/>
      <c r="BG49" s="428"/>
      <c r="BH49" s="428"/>
      <c r="BI49" s="428"/>
      <c r="BJ49" s="428"/>
      <c r="BK49" s="428"/>
      <c r="BL49" s="428"/>
      <c r="BM49" s="428"/>
      <c r="BN49" s="428"/>
    </row>
    <row r="50" spans="1:66" s="413" customFormat="1" ht="195" x14ac:dyDescent="0.2">
      <c r="A50" s="462" t="s">
        <v>145</v>
      </c>
      <c r="B50" s="466" t="s">
        <v>177</v>
      </c>
      <c r="C50" s="467" t="s">
        <v>206</v>
      </c>
      <c r="D50" s="466" t="s">
        <v>207</v>
      </c>
      <c r="E50" s="468"/>
      <c r="F50" s="468"/>
      <c r="G50" s="468"/>
      <c r="H50" s="468">
        <v>1</v>
      </c>
      <c r="I50" s="468"/>
      <c r="J50" s="468"/>
      <c r="K50" s="468">
        <v>1</v>
      </c>
      <c r="L50" s="468"/>
      <c r="M50" s="468"/>
      <c r="N50" s="468">
        <v>1</v>
      </c>
      <c r="O50" s="468"/>
      <c r="P50" s="468"/>
      <c r="Q50" s="423">
        <f t="shared" si="1"/>
        <v>3</v>
      </c>
      <c r="R50" s="424" t="s">
        <v>112</v>
      </c>
      <c r="S50" s="424"/>
      <c r="T50" s="424"/>
      <c r="U50" s="469"/>
      <c r="V50" s="429" t="s">
        <v>180</v>
      </c>
      <c r="W50" s="426"/>
      <c r="X50" s="415"/>
      <c r="Y50" s="415"/>
      <c r="Z50" s="415"/>
      <c r="AA50" s="415"/>
      <c r="AB50" s="415"/>
      <c r="AC50" s="427"/>
      <c r="AD50" s="427"/>
      <c r="AE50" s="427"/>
      <c r="AF50" s="428"/>
      <c r="AG50" s="428"/>
      <c r="AH50" s="428"/>
      <c r="AI50" s="428"/>
      <c r="AJ50" s="428"/>
      <c r="AK50" s="428"/>
      <c r="AL50" s="428"/>
      <c r="AM50" s="428"/>
      <c r="AN50" s="428"/>
      <c r="AO50" s="428"/>
      <c r="AP50" s="428"/>
      <c r="AQ50" s="428"/>
      <c r="AR50" s="428"/>
      <c r="AS50" s="428"/>
      <c r="AT50" s="428"/>
      <c r="AU50" s="428"/>
      <c r="AV50" s="428"/>
      <c r="AW50" s="428"/>
      <c r="AX50" s="428"/>
      <c r="AY50" s="428"/>
      <c r="AZ50" s="428"/>
      <c r="BA50" s="428"/>
      <c r="BB50" s="428"/>
      <c r="BC50" s="428"/>
      <c r="BD50" s="428"/>
      <c r="BE50" s="428"/>
      <c r="BF50" s="428"/>
      <c r="BG50" s="428"/>
      <c r="BH50" s="428"/>
      <c r="BI50" s="428"/>
      <c r="BJ50" s="428"/>
      <c r="BK50" s="428"/>
      <c r="BL50" s="428"/>
      <c r="BM50" s="428"/>
      <c r="BN50" s="428"/>
    </row>
    <row r="51" spans="1:66" s="413" customFormat="1" ht="195" x14ac:dyDescent="0.2">
      <c r="A51" s="462" t="s">
        <v>145</v>
      </c>
      <c r="B51" s="466" t="s">
        <v>177</v>
      </c>
      <c r="C51" s="467" t="s">
        <v>208</v>
      </c>
      <c r="D51" s="463" t="s">
        <v>209</v>
      </c>
      <c r="E51" s="465">
        <v>1</v>
      </c>
      <c r="F51" s="465">
        <v>1</v>
      </c>
      <c r="G51" s="465">
        <v>1</v>
      </c>
      <c r="H51" s="465">
        <v>1</v>
      </c>
      <c r="I51" s="465">
        <v>1</v>
      </c>
      <c r="J51" s="465">
        <v>1</v>
      </c>
      <c r="K51" s="465">
        <v>1</v>
      </c>
      <c r="L51" s="465">
        <v>1</v>
      </c>
      <c r="M51" s="465">
        <v>1</v>
      </c>
      <c r="N51" s="465">
        <v>1</v>
      </c>
      <c r="O51" s="465">
        <v>1</v>
      </c>
      <c r="P51" s="465">
        <v>1</v>
      </c>
      <c r="Q51" s="423">
        <f t="shared" si="1"/>
        <v>12</v>
      </c>
      <c r="R51" s="424" t="s">
        <v>112</v>
      </c>
      <c r="S51" s="424"/>
      <c r="T51" s="424"/>
      <c r="U51" s="471" t="s">
        <v>176</v>
      </c>
      <c r="V51" s="429" t="s">
        <v>180</v>
      </c>
      <c r="W51" s="426"/>
      <c r="X51" s="415"/>
      <c r="Y51" s="415"/>
      <c r="Z51" s="415"/>
      <c r="AA51" s="415"/>
      <c r="AB51" s="415"/>
      <c r="AC51" s="427"/>
      <c r="AD51" s="427"/>
      <c r="AE51" s="427"/>
      <c r="AF51" s="428"/>
      <c r="AG51" s="428"/>
      <c r="AH51" s="428"/>
      <c r="AI51" s="428"/>
      <c r="AJ51" s="428"/>
      <c r="AK51" s="428"/>
      <c r="AL51" s="428"/>
      <c r="AM51" s="428"/>
      <c r="AN51" s="428"/>
      <c r="AO51" s="428"/>
      <c r="AP51" s="428"/>
      <c r="AQ51" s="428"/>
      <c r="AR51" s="428"/>
      <c r="AS51" s="428"/>
      <c r="AT51" s="428"/>
      <c r="AU51" s="428"/>
      <c r="AV51" s="428"/>
      <c r="AW51" s="428"/>
      <c r="AX51" s="428"/>
      <c r="AY51" s="428"/>
      <c r="AZ51" s="428"/>
      <c r="BA51" s="428"/>
      <c r="BB51" s="428"/>
      <c r="BC51" s="428"/>
      <c r="BD51" s="428"/>
      <c r="BE51" s="428"/>
      <c r="BF51" s="428"/>
      <c r="BG51" s="428"/>
      <c r="BH51" s="428"/>
      <c r="BI51" s="428"/>
      <c r="BJ51" s="428"/>
      <c r="BK51" s="428"/>
      <c r="BL51" s="428"/>
      <c r="BM51" s="428"/>
      <c r="BN51" s="428"/>
    </row>
    <row r="52" spans="1:66" s="413" customFormat="1" ht="195" x14ac:dyDescent="0.2">
      <c r="A52" s="462" t="s">
        <v>145</v>
      </c>
      <c r="B52" s="466" t="s">
        <v>177</v>
      </c>
      <c r="C52" s="467" t="s">
        <v>210</v>
      </c>
      <c r="D52" s="466" t="s">
        <v>211</v>
      </c>
      <c r="E52" s="468"/>
      <c r="F52" s="468"/>
      <c r="G52" s="468">
        <v>1</v>
      </c>
      <c r="H52" s="468"/>
      <c r="I52" s="468"/>
      <c r="J52" s="468">
        <v>1</v>
      </c>
      <c r="K52" s="468"/>
      <c r="L52" s="468"/>
      <c r="M52" s="468">
        <v>1</v>
      </c>
      <c r="N52" s="468"/>
      <c r="O52" s="468"/>
      <c r="P52" s="468">
        <v>1</v>
      </c>
      <c r="Q52" s="423">
        <f t="shared" si="1"/>
        <v>4</v>
      </c>
      <c r="R52" s="424" t="s">
        <v>131</v>
      </c>
      <c r="S52" s="424"/>
      <c r="T52" s="424"/>
      <c r="U52" s="469"/>
      <c r="V52" s="429" t="s">
        <v>180</v>
      </c>
      <c r="W52" s="426"/>
      <c r="X52" s="415"/>
      <c r="Y52" s="415"/>
      <c r="Z52" s="415"/>
      <c r="AA52" s="415"/>
      <c r="AB52" s="415"/>
      <c r="AC52" s="427"/>
      <c r="AD52" s="427"/>
      <c r="AE52" s="427"/>
      <c r="AF52" s="428"/>
      <c r="AG52" s="428"/>
      <c r="AH52" s="428"/>
      <c r="AI52" s="428"/>
      <c r="AJ52" s="428"/>
      <c r="AK52" s="428"/>
      <c r="AL52" s="428"/>
      <c r="AM52" s="428"/>
      <c r="AN52" s="428"/>
      <c r="AO52" s="428"/>
      <c r="AP52" s="428"/>
      <c r="AQ52" s="428"/>
      <c r="AR52" s="428"/>
      <c r="AS52" s="428"/>
      <c r="AT52" s="428"/>
      <c r="AU52" s="428"/>
      <c r="AV52" s="428"/>
      <c r="AW52" s="428"/>
      <c r="AX52" s="428"/>
      <c r="AY52" s="428"/>
      <c r="AZ52" s="428"/>
      <c r="BA52" s="428"/>
      <c r="BB52" s="428"/>
      <c r="BC52" s="428"/>
      <c r="BD52" s="428"/>
      <c r="BE52" s="428"/>
      <c r="BF52" s="428"/>
      <c r="BG52" s="428"/>
      <c r="BH52" s="428"/>
      <c r="BI52" s="428"/>
      <c r="BJ52" s="428"/>
      <c r="BK52" s="428"/>
      <c r="BL52" s="428"/>
      <c r="BM52" s="428"/>
      <c r="BN52" s="428"/>
    </row>
    <row r="53" spans="1:66" s="427" customFormat="1" ht="195" x14ac:dyDescent="0.2">
      <c r="A53" s="431" t="s">
        <v>145</v>
      </c>
      <c r="B53" s="451" t="s">
        <v>177</v>
      </c>
      <c r="C53" s="432" t="s">
        <v>212</v>
      </c>
      <c r="D53" s="433" t="s">
        <v>213</v>
      </c>
      <c r="E53" s="434"/>
      <c r="F53" s="434"/>
      <c r="G53" s="434">
        <v>1</v>
      </c>
      <c r="H53" s="434"/>
      <c r="I53" s="434"/>
      <c r="J53" s="434">
        <v>1</v>
      </c>
      <c r="K53" s="434"/>
      <c r="L53" s="434"/>
      <c r="M53" s="434">
        <v>1</v>
      </c>
      <c r="N53" s="434"/>
      <c r="O53" s="434"/>
      <c r="P53" s="434">
        <v>1</v>
      </c>
      <c r="Q53" s="435">
        <f t="shared" si="1"/>
        <v>4</v>
      </c>
      <c r="R53" s="436" t="s">
        <v>112</v>
      </c>
      <c r="S53" s="436" t="s">
        <v>131</v>
      </c>
      <c r="T53" s="436"/>
      <c r="U53" s="431" t="s">
        <v>214</v>
      </c>
      <c r="V53" s="437" t="s">
        <v>180</v>
      </c>
      <c r="W53" s="438"/>
    </row>
    <row r="54" spans="1:66" s="413" customFormat="1" ht="135" x14ac:dyDescent="0.2">
      <c r="A54" s="462" t="s">
        <v>215</v>
      </c>
      <c r="B54" s="452" t="s">
        <v>216</v>
      </c>
      <c r="C54" s="467" t="s">
        <v>217</v>
      </c>
      <c r="D54" s="466" t="s">
        <v>218</v>
      </c>
      <c r="E54" s="468"/>
      <c r="F54" s="468"/>
      <c r="G54" s="468">
        <v>1</v>
      </c>
      <c r="H54" s="468"/>
      <c r="I54" s="468"/>
      <c r="J54" s="468">
        <v>1</v>
      </c>
      <c r="K54" s="468"/>
      <c r="L54" s="468"/>
      <c r="M54" s="468">
        <v>1</v>
      </c>
      <c r="N54" s="468"/>
      <c r="O54" s="468"/>
      <c r="P54" s="468">
        <v>1</v>
      </c>
      <c r="Q54" s="423">
        <f t="shared" si="1"/>
        <v>4</v>
      </c>
      <c r="R54" s="424" t="s">
        <v>112</v>
      </c>
      <c r="S54" s="424" t="s">
        <v>131</v>
      </c>
      <c r="T54" s="424"/>
      <c r="U54" s="469" t="s">
        <v>219</v>
      </c>
      <c r="V54" s="429" t="s">
        <v>220</v>
      </c>
      <c r="W54" s="426"/>
      <c r="X54" s="415"/>
      <c r="Y54" s="415"/>
      <c r="Z54" s="415"/>
      <c r="AA54" s="415"/>
      <c r="AB54" s="415"/>
      <c r="AC54" s="427"/>
      <c r="AD54" s="427"/>
      <c r="AE54" s="427"/>
      <c r="AF54" s="428"/>
      <c r="AG54" s="428"/>
      <c r="AH54" s="428"/>
      <c r="AI54" s="428"/>
      <c r="AJ54" s="428"/>
      <c r="AK54" s="428"/>
      <c r="AL54" s="428"/>
      <c r="AM54" s="428"/>
      <c r="AN54" s="428"/>
      <c r="AO54" s="428"/>
      <c r="AP54" s="428"/>
      <c r="AQ54" s="428"/>
      <c r="AR54" s="428"/>
      <c r="AS54" s="428"/>
      <c r="AT54" s="428"/>
      <c r="AU54" s="428"/>
      <c r="AV54" s="428"/>
      <c r="AW54" s="428"/>
      <c r="AX54" s="428"/>
      <c r="AY54" s="428"/>
      <c r="AZ54" s="428"/>
      <c r="BA54" s="428"/>
      <c r="BB54" s="428"/>
      <c r="BC54" s="428"/>
      <c r="BD54" s="428"/>
      <c r="BE54" s="428"/>
      <c r="BF54" s="428"/>
      <c r="BG54" s="428"/>
      <c r="BH54" s="428"/>
      <c r="BI54" s="428"/>
      <c r="BJ54" s="428"/>
      <c r="BK54" s="428"/>
      <c r="BL54" s="428"/>
      <c r="BM54" s="428"/>
      <c r="BN54" s="428"/>
    </row>
    <row r="55" spans="1:66" s="413" customFormat="1" ht="135" x14ac:dyDescent="0.2">
      <c r="A55" s="462" t="s">
        <v>215</v>
      </c>
      <c r="B55" s="452" t="s">
        <v>216</v>
      </c>
      <c r="C55" s="467" t="s">
        <v>221</v>
      </c>
      <c r="D55" s="463" t="s">
        <v>222</v>
      </c>
      <c r="E55" s="465"/>
      <c r="F55" s="465"/>
      <c r="G55" s="465"/>
      <c r="H55" s="465"/>
      <c r="I55" s="465"/>
      <c r="J55" s="465"/>
      <c r="K55" s="465"/>
      <c r="L55" s="465"/>
      <c r="M55" s="465">
        <v>1</v>
      </c>
      <c r="N55" s="465"/>
      <c r="O55" s="465"/>
      <c r="P55" s="465"/>
      <c r="Q55" s="423">
        <f t="shared" si="1"/>
        <v>1</v>
      </c>
      <c r="R55" s="424" t="s">
        <v>101</v>
      </c>
      <c r="S55" s="424"/>
      <c r="T55" s="424"/>
      <c r="U55" s="462" t="s">
        <v>223</v>
      </c>
      <c r="V55" s="429" t="s">
        <v>220</v>
      </c>
      <c r="W55" s="426"/>
      <c r="X55" s="415"/>
      <c r="Y55" s="415"/>
      <c r="Z55" s="415"/>
      <c r="AA55" s="415"/>
      <c r="AB55" s="415"/>
      <c r="AC55" s="427"/>
      <c r="AD55" s="427"/>
      <c r="AE55" s="427"/>
      <c r="AF55" s="428"/>
      <c r="AG55" s="428"/>
      <c r="AH55" s="428"/>
      <c r="AI55" s="428"/>
      <c r="AJ55" s="428"/>
      <c r="AK55" s="428"/>
      <c r="AL55" s="428"/>
      <c r="AM55" s="428"/>
      <c r="AN55" s="428"/>
      <c r="AO55" s="428"/>
      <c r="AP55" s="428"/>
      <c r="AQ55" s="428"/>
      <c r="AR55" s="428"/>
      <c r="AS55" s="428"/>
      <c r="AT55" s="428"/>
      <c r="AU55" s="428"/>
      <c r="AV55" s="428"/>
      <c r="AW55" s="428"/>
      <c r="AX55" s="428"/>
      <c r="AY55" s="428"/>
      <c r="AZ55" s="428"/>
      <c r="BA55" s="428"/>
      <c r="BB55" s="428"/>
      <c r="BC55" s="428"/>
      <c r="BD55" s="428"/>
      <c r="BE55" s="428"/>
      <c r="BF55" s="428"/>
      <c r="BG55" s="428"/>
      <c r="BH55" s="428"/>
      <c r="BI55" s="428"/>
      <c r="BJ55" s="428"/>
      <c r="BK55" s="428"/>
      <c r="BL55" s="428"/>
      <c r="BM55" s="428"/>
      <c r="BN55" s="428"/>
    </row>
    <row r="56" spans="1:66" s="413" customFormat="1" ht="135" x14ac:dyDescent="0.2">
      <c r="A56" s="462" t="s">
        <v>215</v>
      </c>
      <c r="B56" s="452" t="s">
        <v>216</v>
      </c>
      <c r="C56" s="467" t="s">
        <v>224</v>
      </c>
      <c r="D56" s="466" t="s">
        <v>225</v>
      </c>
      <c r="E56" s="468"/>
      <c r="F56" s="468"/>
      <c r="G56" s="468"/>
      <c r="H56" s="468"/>
      <c r="I56" s="468"/>
      <c r="J56" s="468"/>
      <c r="K56" s="468"/>
      <c r="L56" s="468"/>
      <c r="M56" s="468"/>
      <c r="N56" s="468">
        <v>1</v>
      </c>
      <c r="O56" s="468"/>
      <c r="P56" s="468"/>
      <c r="Q56" s="423">
        <f t="shared" si="1"/>
        <v>1</v>
      </c>
      <c r="R56" s="424" t="s">
        <v>131</v>
      </c>
      <c r="S56" s="424"/>
      <c r="T56" s="424"/>
      <c r="U56" s="469" t="s">
        <v>226</v>
      </c>
      <c r="V56" s="429" t="s">
        <v>220</v>
      </c>
      <c r="W56" s="426"/>
      <c r="X56" s="415"/>
      <c r="Y56" s="415"/>
      <c r="Z56" s="415"/>
      <c r="AA56" s="415"/>
      <c r="AB56" s="415"/>
      <c r="AC56" s="427"/>
      <c r="AD56" s="427"/>
      <c r="AE56" s="427"/>
      <c r="AF56" s="428"/>
      <c r="AG56" s="428"/>
      <c r="AH56" s="428"/>
      <c r="AI56" s="428"/>
      <c r="AJ56" s="428"/>
      <c r="AK56" s="428"/>
      <c r="AL56" s="428"/>
      <c r="AM56" s="428"/>
      <c r="AN56" s="428"/>
      <c r="AO56" s="428"/>
      <c r="AP56" s="428"/>
      <c r="AQ56" s="428"/>
      <c r="AR56" s="428"/>
      <c r="AS56" s="428"/>
      <c r="AT56" s="428"/>
      <c r="AU56" s="428"/>
      <c r="AV56" s="428"/>
      <c r="AW56" s="428"/>
      <c r="AX56" s="428"/>
      <c r="AY56" s="428"/>
      <c r="AZ56" s="428"/>
      <c r="BA56" s="428"/>
      <c r="BB56" s="428"/>
      <c r="BC56" s="428"/>
      <c r="BD56" s="428"/>
      <c r="BE56" s="428"/>
      <c r="BF56" s="428"/>
      <c r="BG56" s="428"/>
      <c r="BH56" s="428"/>
      <c r="BI56" s="428"/>
      <c r="BJ56" s="428"/>
      <c r="BK56" s="428"/>
      <c r="BL56" s="428"/>
      <c r="BM56" s="428"/>
      <c r="BN56" s="428"/>
    </row>
    <row r="57" spans="1:66" s="413" customFormat="1" ht="135" x14ac:dyDescent="0.2">
      <c r="A57" s="462" t="s">
        <v>215</v>
      </c>
      <c r="B57" s="452" t="s">
        <v>216</v>
      </c>
      <c r="C57" s="467" t="s">
        <v>227</v>
      </c>
      <c r="D57" s="466" t="s">
        <v>228</v>
      </c>
      <c r="E57" s="468">
        <v>1</v>
      </c>
      <c r="F57" s="468"/>
      <c r="G57" s="468"/>
      <c r="H57" s="468"/>
      <c r="I57" s="468"/>
      <c r="J57" s="468"/>
      <c r="K57" s="468"/>
      <c r="L57" s="468"/>
      <c r="M57" s="468"/>
      <c r="N57" s="468"/>
      <c r="O57" s="468"/>
      <c r="P57" s="468"/>
      <c r="Q57" s="423">
        <f t="shared" si="1"/>
        <v>1</v>
      </c>
      <c r="R57" s="424" t="s">
        <v>101</v>
      </c>
      <c r="S57" s="424"/>
      <c r="T57" s="424"/>
      <c r="U57" s="469" t="s">
        <v>229</v>
      </c>
      <c r="V57" s="429" t="s">
        <v>220</v>
      </c>
      <c r="W57" s="426"/>
      <c r="X57" s="415"/>
      <c r="Y57" s="415"/>
      <c r="Z57" s="415"/>
      <c r="AA57" s="415"/>
      <c r="AB57" s="415"/>
      <c r="AC57" s="427"/>
      <c r="AD57" s="427"/>
      <c r="AE57" s="427"/>
      <c r="AF57" s="428"/>
      <c r="AG57" s="428"/>
      <c r="AH57" s="428"/>
      <c r="AI57" s="428"/>
      <c r="AJ57" s="428"/>
      <c r="AK57" s="428"/>
      <c r="AL57" s="428"/>
      <c r="AM57" s="428"/>
      <c r="AN57" s="428"/>
      <c r="AO57" s="428"/>
      <c r="AP57" s="428"/>
      <c r="AQ57" s="428"/>
      <c r="AR57" s="428"/>
      <c r="AS57" s="428"/>
      <c r="AT57" s="428"/>
      <c r="AU57" s="428"/>
      <c r="AV57" s="428"/>
      <c r="AW57" s="428"/>
      <c r="AX57" s="428"/>
      <c r="AY57" s="428"/>
      <c r="AZ57" s="428"/>
      <c r="BA57" s="428"/>
      <c r="BB57" s="428"/>
      <c r="BC57" s="428"/>
      <c r="BD57" s="428"/>
      <c r="BE57" s="428"/>
      <c r="BF57" s="428"/>
      <c r="BG57" s="428"/>
      <c r="BH57" s="428"/>
      <c r="BI57" s="428"/>
      <c r="BJ57" s="428"/>
      <c r="BK57" s="428"/>
      <c r="BL57" s="428"/>
      <c r="BM57" s="428"/>
      <c r="BN57" s="428"/>
    </row>
    <row r="58" spans="1:66" s="413" customFormat="1" ht="135" x14ac:dyDescent="0.2">
      <c r="A58" s="462" t="s">
        <v>215</v>
      </c>
      <c r="B58" s="452" t="s">
        <v>216</v>
      </c>
      <c r="C58" s="467" t="s">
        <v>230</v>
      </c>
      <c r="D58" s="466" t="s">
        <v>231</v>
      </c>
      <c r="E58" s="468">
        <v>1</v>
      </c>
      <c r="F58" s="468"/>
      <c r="G58" s="468"/>
      <c r="H58" s="468"/>
      <c r="I58" s="468"/>
      <c r="J58" s="468"/>
      <c r="K58" s="468"/>
      <c r="L58" s="468"/>
      <c r="M58" s="468"/>
      <c r="N58" s="468"/>
      <c r="O58" s="468"/>
      <c r="P58" s="468"/>
      <c r="Q58" s="423">
        <f t="shared" si="1"/>
        <v>1</v>
      </c>
      <c r="R58" s="424" t="s">
        <v>101</v>
      </c>
      <c r="S58" s="424"/>
      <c r="T58" s="424"/>
      <c r="U58" s="469" t="s">
        <v>232</v>
      </c>
      <c r="V58" s="429" t="s">
        <v>220</v>
      </c>
      <c r="W58" s="426"/>
      <c r="X58" s="415"/>
      <c r="Y58" s="415"/>
      <c r="Z58" s="415"/>
      <c r="AA58" s="415"/>
      <c r="AB58" s="415"/>
      <c r="AC58" s="427"/>
      <c r="AD58" s="427"/>
      <c r="AE58" s="427"/>
      <c r="AF58" s="428"/>
      <c r="AG58" s="428"/>
      <c r="AH58" s="428"/>
      <c r="AI58" s="428"/>
      <c r="AJ58" s="428"/>
      <c r="AK58" s="428"/>
      <c r="AL58" s="428"/>
      <c r="AM58" s="428"/>
      <c r="AN58" s="428"/>
      <c r="AO58" s="428"/>
      <c r="AP58" s="428"/>
      <c r="AQ58" s="428"/>
      <c r="AR58" s="428"/>
      <c r="AS58" s="428"/>
      <c r="AT58" s="428"/>
      <c r="AU58" s="428"/>
      <c r="AV58" s="428"/>
      <c r="AW58" s="428"/>
      <c r="AX58" s="428"/>
      <c r="AY58" s="428"/>
      <c r="AZ58" s="428"/>
      <c r="BA58" s="428"/>
      <c r="BB58" s="428"/>
      <c r="BC58" s="428"/>
      <c r="BD58" s="428"/>
      <c r="BE58" s="428"/>
      <c r="BF58" s="428"/>
      <c r="BG58" s="428"/>
      <c r="BH58" s="428"/>
      <c r="BI58" s="428"/>
      <c r="BJ58" s="428"/>
      <c r="BK58" s="428"/>
      <c r="BL58" s="428"/>
      <c r="BM58" s="428"/>
      <c r="BN58" s="428"/>
    </row>
    <row r="59" spans="1:66" s="413" customFormat="1" ht="135" x14ac:dyDescent="0.2">
      <c r="A59" s="462" t="s">
        <v>215</v>
      </c>
      <c r="B59" s="452" t="s">
        <v>216</v>
      </c>
      <c r="C59" s="467" t="s">
        <v>233</v>
      </c>
      <c r="D59" s="463" t="s">
        <v>234</v>
      </c>
      <c r="E59" s="465"/>
      <c r="F59" s="465"/>
      <c r="G59" s="465">
        <v>1</v>
      </c>
      <c r="H59" s="465"/>
      <c r="I59" s="465"/>
      <c r="J59" s="465"/>
      <c r="K59" s="465"/>
      <c r="L59" s="465"/>
      <c r="M59" s="465"/>
      <c r="N59" s="465"/>
      <c r="O59" s="465"/>
      <c r="P59" s="465"/>
      <c r="Q59" s="423">
        <f t="shared" si="1"/>
        <v>1</v>
      </c>
      <c r="R59" s="424" t="s">
        <v>112</v>
      </c>
      <c r="S59" s="424"/>
      <c r="T59" s="424"/>
      <c r="U59" s="462" t="s">
        <v>235</v>
      </c>
      <c r="V59" s="429" t="s">
        <v>220</v>
      </c>
      <c r="W59" s="426"/>
      <c r="X59" s="415"/>
      <c r="Y59" s="415"/>
      <c r="Z59" s="415"/>
      <c r="AA59" s="415"/>
      <c r="AB59" s="415"/>
      <c r="AC59" s="427"/>
      <c r="AD59" s="427"/>
      <c r="AE59" s="427"/>
      <c r="AF59" s="428"/>
      <c r="AG59" s="428"/>
      <c r="AH59" s="428"/>
      <c r="AI59" s="428"/>
      <c r="AJ59" s="428"/>
      <c r="AK59" s="428"/>
      <c r="AL59" s="428"/>
      <c r="AM59" s="428"/>
      <c r="AN59" s="428"/>
      <c r="AO59" s="428"/>
      <c r="AP59" s="428"/>
      <c r="AQ59" s="428"/>
      <c r="AR59" s="428"/>
      <c r="AS59" s="428"/>
      <c r="AT59" s="428"/>
      <c r="AU59" s="428"/>
      <c r="AV59" s="428"/>
      <c r="AW59" s="428"/>
      <c r="AX59" s="428"/>
      <c r="AY59" s="428"/>
      <c r="AZ59" s="428"/>
      <c r="BA59" s="428"/>
      <c r="BB59" s="428"/>
      <c r="BC59" s="428"/>
      <c r="BD59" s="428"/>
      <c r="BE59" s="428"/>
      <c r="BF59" s="428"/>
      <c r="BG59" s="428"/>
      <c r="BH59" s="428"/>
      <c r="BI59" s="428"/>
      <c r="BJ59" s="428"/>
      <c r="BK59" s="428"/>
      <c r="BL59" s="428"/>
      <c r="BM59" s="428"/>
      <c r="BN59" s="428"/>
    </row>
    <row r="60" spans="1:66" s="413" customFormat="1" ht="135" x14ac:dyDescent="0.2">
      <c r="A60" s="462" t="s">
        <v>215</v>
      </c>
      <c r="B60" s="452" t="s">
        <v>216</v>
      </c>
      <c r="C60" s="467" t="s">
        <v>236</v>
      </c>
      <c r="D60" s="466" t="s">
        <v>237</v>
      </c>
      <c r="E60" s="468"/>
      <c r="F60" s="468"/>
      <c r="G60" s="468"/>
      <c r="H60" s="468">
        <v>1</v>
      </c>
      <c r="I60" s="468"/>
      <c r="J60" s="468"/>
      <c r="K60" s="468">
        <v>1</v>
      </c>
      <c r="L60" s="468"/>
      <c r="M60" s="468"/>
      <c r="N60" s="468">
        <v>1</v>
      </c>
      <c r="O60" s="468"/>
      <c r="P60" s="468"/>
      <c r="Q60" s="423">
        <f t="shared" si="1"/>
        <v>3</v>
      </c>
      <c r="R60" s="424" t="s">
        <v>143</v>
      </c>
      <c r="S60" s="424"/>
      <c r="T60" s="424"/>
      <c r="U60" s="469" t="s">
        <v>238</v>
      </c>
      <c r="V60" s="429" t="s">
        <v>220</v>
      </c>
      <c r="W60" s="426"/>
      <c r="X60" s="415"/>
      <c r="Y60" s="415"/>
      <c r="Z60" s="415"/>
      <c r="AA60" s="415"/>
      <c r="AB60" s="415"/>
      <c r="AC60" s="427"/>
      <c r="AD60" s="427"/>
      <c r="AE60" s="427"/>
      <c r="AF60" s="428"/>
      <c r="AG60" s="428"/>
      <c r="AH60" s="428"/>
      <c r="AI60" s="428"/>
      <c r="AJ60" s="428"/>
      <c r="AK60" s="428"/>
      <c r="AL60" s="428"/>
      <c r="AM60" s="428"/>
      <c r="AN60" s="428"/>
      <c r="AO60" s="428"/>
      <c r="AP60" s="428"/>
      <c r="AQ60" s="428"/>
      <c r="AR60" s="428"/>
      <c r="AS60" s="428"/>
      <c r="AT60" s="428"/>
      <c r="AU60" s="428"/>
      <c r="AV60" s="428"/>
      <c r="AW60" s="428"/>
      <c r="AX60" s="428"/>
      <c r="AY60" s="428"/>
      <c r="AZ60" s="428"/>
      <c r="BA60" s="428"/>
      <c r="BB60" s="428"/>
      <c r="BC60" s="428"/>
      <c r="BD60" s="428"/>
      <c r="BE60" s="428"/>
      <c r="BF60" s="428"/>
      <c r="BG60" s="428"/>
      <c r="BH60" s="428"/>
      <c r="BI60" s="428"/>
      <c r="BJ60" s="428"/>
      <c r="BK60" s="428"/>
      <c r="BL60" s="428"/>
      <c r="BM60" s="428"/>
      <c r="BN60" s="428"/>
    </row>
    <row r="61" spans="1:66" s="413" customFormat="1" ht="135" x14ac:dyDescent="0.2">
      <c r="A61" s="462" t="s">
        <v>215</v>
      </c>
      <c r="B61" s="452" t="s">
        <v>216</v>
      </c>
      <c r="C61" s="467" t="s">
        <v>239</v>
      </c>
      <c r="D61" s="463" t="s">
        <v>240</v>
      </c>
      <c r="E61" s="465"/>
      <c r="F61" s="465"/>
      <c r="G61" s="465"/>
      <c r="H61" s="465">
        <v>1</v>
      </c>
      <c r="I61" s="465"/>
      <c r="J61" s="465"/>
      <c r="K61" s="465">
        <v>1</v>
      </c>
      <c r="L61" s="465"/>
      <c r="M61" s="465"/>
      <c r="N61" s="465">
        <v>1</v>
      </c>
      <c r="O61" s="465"/>
      <c r="P61" s="465"/>
      <c r="Q61" s="423">
        <f t="shared" si="1"/>
        <v>3</v>
      </c>
      <c r="R61" s="424" t="s">
        <v>101</v>
      </c>
      <c r="S61" s="424"/>
      <c r="T61" s="424"/>
      <c r="U61" s="462"/>
      <c r="V61" s="429" t="s">
        <v>220</v>
      </c>
      <c r="W61" s="426"/>
      <c r="X61" s="415"/>
      <c r="Y61" s="415"/>
      <c r="Z61" s="415"/>
      <c r="AA61" s="415"/>
      <c r="AB61" s="415"/>
      <c r="AC61" s="427"/>
      <c r="AD61" s="427"/>
      <c r="AE61" s="427"/>
      <c r="AF61" s="428"/>
      <c r="AG61" s="428"/>
      <c r="AH61" s="428"/>
      <c r="AI61" s="428"/>
      <c r="AJ61" s="428"/>
      <c r="AK61" s="428"/>
      <c r="AL61" s="428"/>
      <c r="AM61" s="428"/>
      <c r="AN61" s="428"/>
      <c r="AO61" s="428"/>
      <c r="AP61" s="428"/>
      <c r="AQ61" s="428"/>
      <c r="AR61" s="428"/>
      <c r="AS61" s="428"/>
      <c r="AT61" s="428"/>
      <c r="AU61" s="428"/>
      <c r="AV61" s="428"/>
      <c r="AW61" s="428"/>
      <c r="AX61" s="428"/>
      <c r="AY61" s="428"/>
      <c r="AZ61" s="428"/>
      <c r="BA61" s="428"/>
      <c r="BB61" s="428"/>
      <c r="BC61" s="428"/>
      <c r="BD61" s="428"/>
      <c r="BE61" s="428"/>
      <c r="BF61" s="428"/>
      <c r="BG61" s="428"/>
      <c r="BH61" s="428"/>
      <c r="BI61" s="428"/>
      <c r="BJ61" s="428"/>
      <c r="BK61" s="428"/>
      <c r="BL61" s="428"/>
      <c r="BM61" s="428"/>
      <c r="BN61" s="428"/>
    </row>
    <row r="62" spans="1:66" s="413" customFormat="1" ht="240" x14ac:dyDescent="0.2">
      <c r="A62" s="462" t="s">
        <v>241</v>
      </c>
      <c r="B62" s="466" t="s">
        <v>242</v>
      </c>
      <c r="C62" s="467" t="s">
        <v>243</v>
      </c>
      <c r="D62" s="466" t="s">
        <v>244</v>
      </c>
      <c r="E62" s="468">
        <v>1</v>
      </c>
      <c r="F62" s="468"/>
      <c r="G62" s="468"/>
      <c r="H62" s="468"/>
      <c r="I62" s="468"/>
      <c r="J62" s="468"/>
      <c r="K62" s="468"/>
      <c r="L62" s="468"/>
      <c r="M62" s="468"/>
      <c r="N62" s="468"/>
      <c r="O62" s="468"/>
      <c r="P62" s="468"/>
      <c r="Q62" s="423">
        <f t="shared" si="1"/>
        <v>1</v>
      </c>
      <c r="R62" s="424"/>
      <c r="S62" s="424"/>
      <c r="T62" s="439" t="s">
        <v>245</v>
      </c>
      <c r="U62" s="469"/>
      <c r="V62" s="429" t="s">
        <v>246</v>
      </c>
      <c r="W62" s="426"/>
      <c r="X62" s="415"/>
      <c r="Y62" s="415"/>
      <c r="Z62" s="415"/>
      <c r="AA62" s="415"/>
      <c r="AB62" s="415"/>
      <c r="AC62" s="427"/>
      <c r="AD62" s="427"/>
      <c r="AE62" s="427"/>
      <c r="AF62" s="428"/>
      <c r="AG62" s="428"/>
      <c r="AH62" s="428"/>
      <c r="AI62" s="428"/>
      <c r="AJ62" s="428"/>
      <c r="AK62" s="428"/>
      <c r="AL62" s="428"/>
      <c r="AM62" s="428"/>
      <c r="AN62" s="428"/>
      <c r="AO62" s="428"/>
      <c r="AP62" s="428"/>
      <c r="AQ62" s="428"/>
      <c r="AR62" s="428"/>
      <c r="AS62" s="428"/>
      <c r="AT62" s="428"/>
      <c r="AU62" s="428"/>
      <c r="AV62" s="428"/>
      <c r="AW62" s="428"/>
      <c r="AX62" s="428"/>
      <c r="AY62" s="428"/>
      <c r="AZ62" s="428"/>
      <c r="BA62" s="428"/>
      <c r="BB62" s="428"/>
      <c r="BC62" s="428"/>
      <c r="BD62" s="428"/>
      <c r="BE62" s="428"/>
      <c r="BF62" s="428"/>
      <c r="BG62" s="428"/>
      <c r="BH62" s="428"/>
      <c r="BI62" s="428"/>
      <c r="BJ62" s="428"/>
      <c r="BK62" s="428"/>
      <c r="BL62" s="428"/>
      <c r="BM62" s="428"/>
      <c r="BN62" s="428"/>
    </row>
    <row r="63" spans="1:66" s="413" customFormat="1" ht="240" x14ac:dyDescent="0.2">
      <c r="A63" s="462" t="s">
        <v>241</v>
      </c>
      <c r="B63" s="466" t="s">
        <v>242</v>
      </c>
      <c r="C63" s="467" t="s">
        <v>247</v>
      </c>
      <c r="D63" s="463" t="s">
        <v>248</v>
      </c>
      <c r="E63" s="465"/>
      <c r="F63" s="465"/>
      <c r="G63" s="465"/>
      <c r="H63" s="465"/>
      <c r="I63" s="465"/>
      <c r="J63" s="465"/>
      <c r="K63" s="465">
        <v>1</v>
      </c>
      <c r="L63" s="465"/>
      <c r="M63" s="465"/>
      <c r="N63" s="465"/>
      <c r="O63" s="465"/>
      <c r="P63" s="465">
        <v>1</v>
      </c>
      <c r="Q63" s="423">
        <f t="shared" si="1"/>
        <v>2</v>
      </c>
      <c r="R63" s="424"/>
      <c r="S63" s="424"/>
      <c r="T63" s="424" t="s">
        <v>249</v>
      </c>
      <c r="U63" s="462"/>
      <c r="V63" s="429" t="s">
        <v>246</v>
      </c>
      <c r="W63" s="426"/>
      <c r="X63" s="415"/>
      <c r="Y63" s="415"/>
      <c r="Z63" s="415"/>
      <c r="AA63" s="415"/>
      <c r="AB63" s="415"/>
      <c r="AC63" s="427"/>
      <c r="AD63" s="427"/>
      <c r="AE63" s="427"/>
      <c r="AF63" s="428"/>
      <c r="AG63" s="428"/>
      <c r="AH63" s="428"/>
      <c r="AI63" s="428"/>
      <c r="AJ63" s="428"/>
      <c r="AK63" s="428"/>
      <c r="AL63" s="428"/>
      <c r="AM63" s="428"/>
      <c r="AN63" s="428"/>
      <c r="AO63" s="428"/>
      <c r="AP63" s="428"/>
      <c r="AQ63" s="428"/>
      <c r="AR63" s="428"/>
      <c r="AS63" s="428"/>
      <c r="AT63" s="428"/>
      <c r="AU63" s="428"/>
      <c r="AV63" s="428"/>
      <c r="AW63" s="428"/>
      <c r="AX63" s="428"/>
      <c r="AY63" s="428"/>
      <c r="AZ63" s="428"/>
      <c r="BA63" s="428"/>
      <c r="BB63" s="428"/>
      <c r="BC63" s="428"/>
      <c r="BD63" s="428"/>
      <c r="BE63" s="428"/>
      <c r="BF63" s="428"/>
      <c r="BG63" s="428"/>
      <c r="BH63" s="428"/>
      <c r="BI63" s="428"/>
      <c r="BJ63" s="428"/>
      <c r="BK63" s="428"/>
      <c r="BL63" s="428"/>
      <c r="BM63" s="428"/>
      <c r="BN63" s="428"/>
    </row>
    <row r="64" spans="1:66" s="413" customFormat="1" ht="240" x14ac:dyDescent="0.2">
      <c r="A64" s="462" t="s">
        <v>241</v>
      </c>
      <c r="B64" s="466" t="s">
        <v>250</v>
      </c>
      <c r="C64" s="467" t="s">
        <v>251</v>
      </c>
      <c r="D64" s="466" t="s">
        <v>252</v>
      </c>
      <c r="E64" s="468"/>
      <c r="F64" s="468"/>
      <c r="G64" s="468">
        <v>1</v>
      </c>
      <c r="H64" s="468"/>
      <c r="I64" s="468"/>
      <c r="J64" s="468">
        <v>1</v>
      </c>
      <c r="K64" s="468"/>
      <c r="L64" s="468"/>
      <c r="M64" s="468">
        <v>1</v>
      </c>
      <c r="N64" s="468"/>
      <c r="O64" s="468"/>
      <c r="P64" s="468">
        <v>1</v>
      </c>
      <c r="Q64" s="423">
        <f t="shared" si="1"/>
        <v>4</v>
      </c>
      <c r="R64" s="424" t="s">
        <v>101</v>
      </c>
      <c r="S64" s="424"/>
      <c r="T64" s="424"/>
      <c r="U64" s="469"/>
      <c r="V64" s="429" t="s">
        <v>253</v>
      </c>
      <c r="W64" s="426"/>
      <c r="X64" s="415"/>
      <c r="Y64" s="415"/>
      <c r="Z64" s="415"/>
      <c r="AA64" s="415"/>
      <c r="AB64" s="415"/>
      <c r="AC64" s="427"/>
      <c r="AD64" s="427"/>
      <c r="AE64" s="427"/>
      <c r="AF64" s="428"/>
      <c r="AG64" s="428"/>
      <c r="AH64" s="428"/>
      <c r="AI64" s="428"/>
      <c r="AJ64" s="428"/>
      <c r="AK64" s="428"/>
      <c r="AL64" s="428"/>
      <c r="AM64" s="428"/>
      <c r="AN64" s="428"/>
      <c r="AO64" s="428"/>
      <c r="AP64" s="428"/>
      <c r="AQ64" s="428"/>
      <c r="AR64" s="428"/>
      <c r="AS64" s="428"/>
      <c r="AT64" s="428"/>
      <c r="AU64" s="428"/>
      <c r="AV64" s="428"/>
      <c r="AW64" s="428"/>
      <c r="AX64" s="428"/>
      <c r="AY64" s="428"/>
      <c r="AZ64" s="428"/>
      <c r="BA64" s="428"/>
      <c r="BB64" s="428"/>
      <c r="BC64" s="428"/>
      <c r="BD64" s="428"/>
      <c r="BE64" s="428"/>
      <c r="BF64" s="428"/>
      <c r="BG64" s="428"/>
      <c r="BH64" s="428"/>
      <c r="BI64" s="428"/>
      <c r="BJ64" s="428"/>
      <c r="BK64" s="428"/>
      <c r="BL64" s="428"/>
      <c r="BM64" s="428"/>
      <c r="BN64" s="428"/>
    </row>
    <row r="65" spans="1:66" s="413" customFormat="1" ht="240" x14ac:dyDescent="0.2">
      <c r="A65" s="462" t="s">
        <v>241</v>
      </c>
      <c r="B65" s="463" t="s">
        <v>250</v>
      </c>
      <c r="C65" s="464" t="s">
        <v>254</v>
      </c>
      <c r="D65" s="463" t="s">
        <v>255</v>
      </c>
      <c r="E65" s="465"/>
      <c r="F65" s="465"/>
      <c r="G65" s="465">
        <v>1</v>
      </c>
      <c r="H65" s="465"/>
      <c r="I65" s="465"/>
      <c r="J65" s="465">
        <v>1</v>
      </c>
      <c r="K65" s="465"/>
      <c r="L65" s="465"/>
      <c r="M65" s="465">
        <v>1</v>
      </c>
      <c r="N65" s="465"/>
      <c r="O65" s="465"/>
      <c r="P65" s="465">
        <v>1</v>
      </c>
      <c r="Q65" s="423">
        <f t="shared" si="1"/>
        <v>4</v>
      </c>
      <c r="R65" s="424" t="s">
        <v>101</v>
      </c>
      <c r="S65" s="424"/>
      <c r="T65" s="424"/>
      <c r="U65" s="462"/>
      <c r="V65" s="429" t="s">
        <v>253</v>
      </c>
      <c r="W65" s="426"/>
      <c r="X65" s="415"/>
      <c r="Y65" s="415"/>
      <c r="Z65" s="415"/>
      <c r="AA65" s="415"/>
      <c r="AB65" s="415"/>
      <c r="AC65" s="427"/>
      <c r="AD65" s="427"/>
      <c r="AE65" s="427"/>
      <c r="AF65" s="428"/>
      <c r="AG65" s="428"/>
      <c r="AH65" s="428"/>
      <c r="AI65" s="428"/>
      <c r="AJ65" s="428"/>
      <c r="AK65" s="428"/>
      <c r="AL65" s="428"/>
      <c r="AM65" s="428"/>
      <c r="AN65" s="428"/>
      <c r="AO65" s="428"/>
      <c r="AP65" s="428"/>
      <c r="AQ65" s="428"/>
      <c r="AR65" s="428"/>
      <c r="AS65" s="428"/>
      <c r="AT65" s="428"/>
      <c r="AU65" s="428"/>
      <c r="AV65" s="428"/>
      <c r="AW65" s="428"/>
      <c r="AX65" s="428"/>
      <c r="AY65" s="428"/>
      <c r="AZ65" s="428"/>
      <c r="BA65" s="428"/>
      <c r="BB65" s="428"/>
      <c r="BC65" s="428"/>
      <c r="BD65" s="428"/>
      <c r="BE65" s="428"/>
      <c r="BF65" s="428"/>
      <c r="BG65" s="428"/>
      <c r="BH65" s="428"/>
      <c r="BI65" s="428"/>
      <c r="BJ65" s="428"/>
      <c r="BK65" s="428"/>
      <c r="BL65" s="428"/>
      <c r="BM65" s="428"/>
      <c r="BN65" s="428"/>
    </row>
    <row r="66" spans="1:66" s="413" customFormat="1" ht="240" x14ac:dyDescent="0.2">
      <c r="A66" s="462" t="s">
        <v>241</v>
      </c>
      <c r="B66" s="466" t="s">
        <v>250</v>
      </c>
      <c r="C66" s="467" t="s">
        <v>256</v>
      </c>
      <c r="D66" s="466" t="s">
        <v>257</v>
      </c>
      <c r="E66" s="468"/>
      <c r="F66" s="468"/>
      <c r="G66" s="468">
        <v>1</v>
      </c>
      <c r="H66" s="468"/>
      <c r="I66" s="468"/>
      <c r="J66" s="468">
        <v>1</v>
      </c>
      <c r="K66" s="468"/>
      <c r="L66" s="468"/>
      <c r="M66" s="468">
        <v>1</v>
      </c>
      <c r="N66" s="468"/>
      <c r="O66" s="468"/>
      <c r="P66" s="468">
        <v>1</v>
      </c>
      <c r="Q66" s="423">
        <f t="shared" si="1"/>
        <v>4</v>
      </c>
      <c r="R66" s="424" t="s">
        <v>258</v>
      </c>
      <c r="S66" s="424"/>
      <c r="T66" s="424"/>
      <c r="U66" s="469"/>
      <c r="V66" s="429" t="s">
        <v>253</v>
      </c>
      <c r="W66" s="426"/>
      <c r="X66" s="415"/>
      <c r="Y66" s="415"/>
      <c r="Z66" s="415"/>
      <c r="AA66" s="415"/>
      <c r="AB66" s="415"/>
      <c r="AC66" s="427"/>
      <c r="AD66" s="427"/>
      <c r="AE66" s="427"/>
      <c r="AF66" s="428"/>
      <c r="AG66" s="428"/>
      <c r="AH66" s="428"/>
      <c r="AI66" s="428"/>
      <c r="AJ66" s="428"/>
      <c r="AK66" s="428"/>
      <c r="AL66" s="428"/>
      <c r="AM66" s="428"/>
      <c r="AN66" s="428"/>
      <c r="AO66" s="428"/>
      <c r="AP66" s="428"/>
      <c r="AQ66" s="428"/>
      <c r="AR66" s="428"/>
      <c r="AS66" s="428"/>
      <c r="AT66" s="428"/>
      <c r="AU66" s="428"/>
      <c r="AV66" s="428"/>
      <c r="AW66" s="428"/>
      <c r="AX66" s="428"/>
      <c r="AY66" s="428"/>
      <c r="AZ66" s="428"/>
      <c r="BA66" s="428"/>
      <c r="BB66" s="428"/>
      <c r="BC66" s="428"/>
      <c r="BD66" s="428"/>
      <c r="BE66" s="428"/>
      <c r="BF66" s="428"/>
      <c r="BG66" s="428"/>
      <c r="BH66" s="428"/>
      <c r="BI66" s="428"/>
      <c r="BJ66" s="428"/>
      <c r="BK66" s="428"/>
      <c r="BL66" s="428"/>
      <c r="BM66" s="428"/>
      <c r="BN66" s="428"/>
    </row>
    <row r="67" spans="1:66" s="413" customFormat="1" ht="240" x14ac:dyDescent="0.2">
      <c r="A67" s="462" t="s">
        <v>241</v>
      </c>
      <c r="B67" s="463" t="s">
        <v>259</v>
      </c>
      <c r="C67" s="464" t="s">
        <v>260</v>
      </c>
      <c r="D67" s="463" t="s">
        <v>261</v>
      </c>
      <c r="E67" s="465"/>
      <c r="F67" s="465"/>
      <c r="G67" s="465"/>
      <c r="H67" s="465"/>
      <c r="I67" s="465"/>
      <c r="J67" s="465"/>
      <c r="K67" s="465"/>
      <c r="L67" s="465"/>
      <c r="M67" s="465"/>
      <c r="N67" s="465"/>
      <c r="O67" s="465">
        <v>1</v>
      </c>
      <c r="P67" s="465"/>
      <c r="Q67" s="423">
        <f t="shared" si="1"/>
        <v>1</v>
      </c>
      <c r="R67" s="424" t="s">
        <v>262</v>
      </c>
      <c r="S67" s="424"/>
      <c r="T67" s="424"/>
      <c r="U67" s="462"/>
      <c r="V67" s="425" t="s">
        <v>246</v>
      </c>
      <c r="W67" s="426"/>
      <c r="X67" s="415"/>
      <c r="Y67" s="415"/>
      <c r="Z67" s="415"/>
      <c r="AA67" s="415"/>
      <c r="AB67" s="415"/>
      <c r="AC67" s="427"/>
      <c r="AD67" s="427"/>
      <c r="AE67" s="427"/>
      <c r="AF67" s="428"/>
      <c r="AG67" s="428"/>
      <c r="AH67" s="428"/>
      <c r="AI67" s="428"/>
      <c r="AJ67" s="428"/>
      <c r="AK67" s="428"/>
      <c r="AL67" s="428"/>
      <c r="AM67" s="428"/>
      <c r="AN67" s="428"/>
      <c r="AO67" s="428"/>
      <c r="AP67" s="428"/>
      <c r="AQ67" s="428"/>
      <c r="AR67" s="428"/>
      <c r="AS67" s="428"/>
      <c r="AT67" s="428"/>
      <c r="AU67" s="428"/>
      <c r="AV67" s="428"/>
      <c r="AW67" s="428"/>
      <c r="AX67" s="428"/>
      <c r="AY67" s="428"/>
      <c r="AZ67" s="428"/>
      <c r="BA67" s="428"/>
      <c r="BB67" s="428"/>
      <c r="BC67" s="428"/>
      <c r="BD67" s="428"/>
      <c r="BE67" s="428"/>
      <c r="BF67" s="428"/>
      <c r="BG67" s="428"/>
      <c r="BH67" s="428"/>
      <c r="BI67" s="428"/>
      <c r="BJ67" s="428"/>
      <c r="BK67" s="428"/>
      <c r="BL67" s="428"/>
      <c r="BM67" s="428"/>
      <c r="BN67" s="428"/>
    </row>
    <row r="68" spans="1:66" s="413" customFormat="1" ht="240" x14ac:dyDescent="0.2">
      <c r="A68" s="462" t="s">
        <v>241</v>
      </c>
      <c r="B68" s="466" t="s">
        <v>259</v>
      </c>
      <c r="C68" s="467" t="s">
        <v>263</v>
      </c>
      <c r="D68" s="466" t="s">
        <v>264</v>
      </c>
      <c r="E68" s="468"/>
      <c r="F68" s="468"/>
      <c r="G68" s="468"/>
      <c r="H68" s="468"/>
      <c r="I68" s="468"/>
      <c r="J68" s="468"/>
      <c r="K68" s="468"/>
      <c r="L68" s="468"/>
      <c r="M68" s="468">
        <v>1</v>
      </c>
      <c r="N68" s="468"/>
      <c r="O68" s="468"/>
      <c r="P68" s="468"/>
      <c r="Q68" s="423">
        <f t="shared" si="1"/>
        <v>1</v>
      </c>
      <c r="R68" s="424" t="s">
        <v>131</v>
      </c>
      <c r="S68" s="424"/>
      <c r="T68" s="424"/>
      <c r="U68" s="469"/>
      <c r="V68" s="425" t="s">
        <v>246</v>
      </c>
      <c r="W68" s="426"/>
      <c r="X68" s="415"/>
      <c r="Y68" s="415"/>
      <c r="Z68" s="415"/>
      <c r="AA68" s="415"/>
      <c r="AB68" s="415"/>
      <c r="AC68" s="427"/>
      <c r="AD68" s="427"/>
      <c r="AE68" s="427"/>
      <c r="AF68" s="428"/>
      <c r="AG68" s="428"/>
      <c r="AH68" s="428"/>
      <c r="AI68" s="428"/>
      <c r="AJ68" s="428"/>
      <c r="AK68" s="428"/>
      <c r="AL68" s="428"/>
      <c r="AM68" s="428"/>
      <c r="AN68" s="428"/>
      <c r="AO68" s="428"/>
      <c r="AP68" s="428"/>
      <c r="AQ68" s="428"/>
      <c r="AR68" s="428"/>
      <c r="AS68" s="428"/>
      <c r="AT68" s="428"/>
      <c r="AU68" s="428"/>
      <c r="AV68" s="428"/>
      <c r="AW68" s="428"/>
      <c r="AX68" s="428"/>
      <c r="AY68" s="428"/>
      <c r="AZ68" s="428"/>
      <c r="BA68" s="428"/>
      <c r="BB68" s="428"/>
      <c r="BC68" s="428"/>
      <c r="BD68" s="428"/>
      <c r="BE68" s="428"/>
      <c r="BF68" s="428"/>
      <c r="BG68" s="428"/>
      <c r="BH68" s="428"/>
      <c r="BI68" s="428"/>
      <c r="BJ68" s="428"/>
      <c r="BK68" s="428"/>
      <c r="BL68" s="428"/>
      <c r="BM68" s="428"/>
      <c r="BN68" s="428"/>
    </row>
    <row r="69" spans="1:66" s="413" customFormat="1" ht="240" x14ac:dyDescent="0.2">
      <c r="A69" s="462" t="s">
        <v>241</v>
      </c>
      <c r="B69" s="463" t="s">
        <v>259</v>
      </c>
      <c r="C69" s="464" t="s">
        <v>265</v>
      </c>
      <c r="D69" s="463" t="s">
        <v>266</v>
      </c>
      <c r="E69" s="465">
        <v>1</v>
      </c>
      <c r="F69" s="465"/>
      <c r="G69" s="465"/>
      <c r="H69" s="465">
        <v>1</v>
      </c>
      <c r="I69" s="465"/>
      <c r="J69" s="465"/>
      <c r="K69" s="465">
        <v>1</v>
      </c>
      <c r="L69" s="465"/>
      <c r="M69" s="465"/>
      <c r="N69" s="465">
        <v>1</v>
      </c>
      <c r="O69" s="465"/>
      <c r="P69" s="465"/>
      <c r="Q69" s="423">
        <f t="shared" si="1"/>
        <v>4</v>
      </c>
      <c r="R69" s="424"/>
      <c r="S69" s="424"/>
      <c r="T69" s="424" t="s">
        <v>267</v>
      </c>
      <c r="U69" s="462"/>
      <c r="V69" s="425" t="s">
        <v>246</v>
      </c>
      <c r="W69" s="426"/>
      <c r="X69" s="415"/>
      <c r="Y69" s="415"/>
      <c r="Z69" s="415"/>
      <c r="AA69" s="415"/>
      <c r="AB69" s="415"/>
      <c r="AC69" s="427"/>
      <c r="AD69" s="427"/>
      <c r="AE69" s="427"/>
      <c r="AF69" s="428"/>
      <c r="AG69" s="428"/>
      <c r="AH69" s="428"/>
      <c r="AI69" s="428"/>
      <c r="AJ69" s="428"/>
      <c r="AK69" s="428"/>
      <c r="AL69" s="428"/>
      <c r="AM69" s="428"/>
      <c r="AN69" s="428"/>
      <c r="AO69" s="428"/>
      <c r="AP69" s="428"/>
      <c r="AQ69" s="428"/>
      <c r="AR69" s="428"/>
      <c r="AS69" s="428"/>
      <c r="AT69" s="428"/>
      <c r="AU69" s="428"/>
      <c r="AV69" s="428"/>
      <c r="AW69" s="428"/>
      <c r="AX69" s="428"/>
      <c r="AY69" s="428"/>
      <c r="AZ69" s="428"/>
      <c r="BA69" s="428"/>
      <c r="BB69" s="428"/>
      <c r="BC69" s="428"/>
      <c r="BD69" s="428"/>
      <c r="BE69" s="428"/>
      <c r="BF69" s="428"/>
      <c r="BG69" s="428"/>
      <c r="BH69" s="428"/>
      <c r="BI69" s="428"/>
      <c r="BJ69" s="428"/>
      <c r="BK69" s="428"/>
      <c r="BL69" s="428"/>
      <c r="BM69" s="428"/>
      <c r="BN69" s="428"/>
    </row>
    <row r="70" spans="1:66" s="413" customFormat="1" ht="240" x14ac:dyDescent="0.2">
      <c r="A70" s="462" t="s">
        <v>241</v>
      </c>
      <c r="B70" s="466" t="s">
        <v>259</v>
      </c>
      <c r="C70" s="467" t="s">
        <v>268</v>
      </c>
      <c r="D70" s="466" t="s">
        <v>269</v>
      </c>
      <c r="E70" s="468"/>
      <c r="F70" s="468">
        <v>1</v>
      </c>
      <c r="G70" s="468"/>
      <c r="H70" s="468"/>
      <c r="I70" s="468">
        <v>1</v>
      </c>
      <c r="J70" s="468"/>
      <c r="K70" s="468"/>
      <c r="L70" s="468">
        <v>1</v>
      </c>
      <c r="M70" s="468"/>
      <c r="N70" s="468"/>
      <c r="O70" s="468">
        <v>1</v>
      </c>
      <c r="P70" s="468"/>
      <c r="Q70" s="423">
        <f t="shared" si="1"/>
        <v>4</v>
      </c>
      <c r="R70" s="424" t="s">
        <v>120</v>
      </c>
      <c r="S70" s="424" t="s">
        <v>112</v>
      </c>
      <c r="T70" s="424" t="s">
        <v>131</v>
      </c>
      <c r="U70" s="469"/>
      <c r="V70" s="425" t="s">
        <v>246</v>
      </c>
      <c r="W70" s="426"/>
      <c r="X70" s="415"/>
      <c r="Y70" s="415"/>
      <c r="Z70" s="415"/>
      <c r="AA70" s="415"/>
      <c r="AB70" s="415"/>
      <c r="AC70" s="427"/>
      <c r="AD70" s="427"/>
      <c r="AE70" s="427"/>
      <c r="AF70" s="428"/>
      <c r="AG70" s="428"/>
      <c r="AH70" s="428"/>
      <c r="AI70" s="428"/>
      <c r="AJ70" s="428"/>
      <c r="AK70" s="428"/>
      <c r="AL70" s="428"/>
      <c r="AM70" s="428"/>
      <c r="AN70" s="428"/>
      <c r="AO70" s="428"/>
      <c r="AP70" s="428"/>
      <c r="AQ70" s="428"/>
      <c r="AR70" s="428"/>
      <c r="AS70" s="428"/>
      <c r="AT70" s="428"/>
      <c r="AU70" s="428"/>
      <c r="AV70" s="428"/>
      <c r="AW70" s="428"/>
      <c r="AX70" s="428"/>
      <c r="AY70" s="428"/>
      <c r="AZ70" s="428"/>
      <c r="BA70" s="428"/>
      <c r="BB70" s="428"/>
      <c r="BC70" s="428"/>
      <c r="BD70" s="428"/>
      <c r="BE70" s="428"/>
      <c r="BF70" s="428"/>
      <c r="BG70" s="428"/>
      <c r="BH70" s="428"/>
      <c r="BI70" s="428"/>
      <c r="BJ70" s="428"/>
      <c r="BK70" s="428"/>
      <c r="BL70" s="428"/>
      <c r="BM70" s="428"/>
      <c r="BN70" s="428"/>
    </row>
    <row r="71" spans="1:66" s="413" customFormat="1" ht="240" x14ac:dyDescent="0.2">
      <c r="A71" s="462" t="s">
        <v>241</v>
      </c>
      <c r="B71" s="466" t="s">
        <v>259</v>
      </c>
      <c r="C71" s="467" t="s">
        <v>270</v>
      </c>
      <c r="D71" s="466" t="s">
        <v>271</v>
      </c>
      <c r="E71" s="468"/>
      <c r="F71" s="468"/>
      <c r="G71" s="468"/>
      <c r="H71" s="468"/>
      <c r="I71" s="468">
        <v>1</v>
      </c>
      <c r="J71" s="468"/>
      <c r="K71" s="468"/>
      <c r="L71" s="468"/>
      <c r="M71" s="468"/>
      <c r="N71" s="468"/>
      <c r="O71" s="468"/>
      <c r="P71" s="468"/>
      <c r="Q71" s="423">
        <f t="shared" si="1"/>
        <v>1</v>
      </c>
      <c r="R71" s="424" t="s">
        <v>112</v>
      </c>
      <c r="S71" s="424"/>
      <c r="T71" s="424"/>
      <c r="U71" s="469"/>
      <c r="V71" s="425" t="s">
        <v>246</v>
      </c>
      <c r="W71" s="426"/>
      <c r="X71" s="415"/>
      <c r="Y71" s="415"/>
      <c r="Z71" s="415"/>
      <c r="AA71" s="415"/>
      <c r="AB71" s="415"/>
      <c r="AC71" s="427"/>
      <c r="AD71" s="427"/>
      <c r="AE71" s="427"/>
      <c r="AF71" s="428"/>
      <c r="AG71" s="428"/>
      <c r="AH71" s="428"/>
      <c r="AI71" s="428"/>
      <c r="AJ71" s="428"/>
      <c r="AK71" s="428"/>
      <c r="AL71" s="428"/>
      <c r="AM71" s="428"/>
      <c r="AN71" s="428"/>
      <c r="AO71" s="428"/>
      <c r="AP71" s="428"/>
      <c r="AQ71" s="428"/>
      <c r="AR71" s="428"/>
      <c r="AS71" s="428"/>
      <c r="AT71" s="428"/>
      <c r="AU71" s="428"/>
      <c r="AV71" s="428"/>
      <c r="AW71" s="428"/>
      <c r="AX71" s="428"/>
      <c r="AY71" s="428"/>
      <c r="AZ71" s="428"/>
      <c r="BA71" s="428"/>
      <c r="BB71" s="428"/>
      <c r="BC71" s="428"/>
      <c r="BD71" s="428"/>
      <c r="BE71" s="428"/>
      <c r="BF71" s="428"/>
      <c r="BG71" s="428"/>
      <c r="BH71" s="428"/>
      <c r="BI71" s="428"/>
      <c r="BJ71" s="428"/>
      <c r="BK71" s="428"/>
      <c r="BL71" s="428"/>
      <c r="BM71" s="428"/>
      <c r="BN71" s="428"/>
    </row>
    <row r="72" spans="1:66" s="413" customFormat="1" ht="240" x14ac:dyDescent="0.2">
      <c r="A72" s="462" t="s">
        <v>241</v>
      </c>
      <c r="B72" s="466" t="s">
        <v>259</v>
      </c>
      <c r="C72" s="467" t="s">
        <v>272</v>
      </c>
      <c r="D72" s="466" t="s">
        <v>273</v>
      </c>
      <c r="E72" s="468"/>
      <c r="F72" s="468"/>
      <c r="G72" s="468"/>
      <c r="H72" s="468"/>
      <c r="I72" s="468">
        <v>1</v>
      </c>
      <c r="J72" s="468"/>
      <c r="K72" s="468"/>
      <c r="L72" s="468"/>
      <c r="M72" s="468"/>
      <c r="N72" s="468"/>
      <c r="O72" s="468"/>
      <c r="P72" s="468"/>
      <c r="Q72" s="423">
        <f t="shared" si="1"/>
        <v>1</v>
      </c>
      <c r="R72" s="424" t="s">
        <v>112</v>
      </c>
      <c r="S72" s="424"/>
      <c r="T72" s="424"/>
      <c r="U72" s="469"/>
      <c r="V72" s="425" t="s">
        <v>246</v>
      </c>
      <c r="W72" s="426"/>
      <c r="X72" s="415"/>
      <c r="Y72" s="415"/>
      <c r="Z72" s="415"/>
      <c r="AA72" s="415"/>
      <c r="AB72" s="415"/>
      <c r="AC72" s="427"/>
      <c r="AD72" s="427"/>
      <c r="AE72" s="427"/>
      <c r="AF72" s="428"/>
      <c r="AG72" s="428"/>
      <c r="AH72" s="428"/>
      <c r="AI72" s="428"/>
      <c r="AJ72" s="428"/>
      <c r="AK72" s="428"/>
      <c r="AL72" s="428"/>
      <c r="AM72" s="428"/>
      <c r="AN72" s="428"/>
      <c r="AO72" s="428"/>
      <c r="AP72" s="428"/>
      <c r="AQ72" s="428"/>
      <c r="AR72" s="428"/>
      <c r="AS72" s="428"/>
      <c r="AT72" s="428"/>
      <c r="AU72" s="428"/>
      <c r="AV72" s="428"/>
      <c r="AW72" s="428"/>
      <c r="AX72" s="428"/>
      <c r="AY72" s="428"/>
      <c r="AZ72" s="428"/>
      <c r="BA72" s="428"/>
      <c r="BB72" s="428"/>
      <c r="BC72" s="428"/>
      <c r="BD72" s="428"/>
      <c r="BE72" s="428"/>
      <c r="BF72" s="428"/>
      <c r="BG72" s="428"/>
      <c r="BH72" s="428"/>
      <c r="BI72" s="428"/>
      <c r="BJ72" s="428"/>
      <c r="BK72" s="428"/>
      <c r="BL72" s="428"/>
      <c r="BM72" s="428"/>
      <c r="BN72" s="428"/>
    </row>
    <row r="73" spans="1:66" s="413" customFormat="1" ht="240" x14ac:dyDescent="0.2">
      <c r="A73" s="462" t="s">
        <v>241</v>
      </c>
      <c r="B73" s="466" t="s">
        <v>259</v>
      </c>
      <c r="C73" s="467" t="s">
        <v>274</v>
      </c>
      <c r="D73" s="466" t="s">
        <v>275</v>
      </c>
      <c r="E73" s="468"/>
      <c r="F73" s="468"/>
      <c r="G73" s="468"/>
      <c r="H73" s="468"/>
      <c r="I73" s="468"/>
      <c r="J73" s="468"/>
      <c r="K73" s="468">
        <v>1</v>
      </c>
      <c r="L73" s="468"/>
      <c r="M73" s="468"/>
      <c r="N73" s="468"/>
      <c r="O73" s="468"/>
      <c r="P73" s="468"/>
      <c r="Q73" s="423">
        <f t="shared" si="1"/>
        <v>1</v>
      </c>
      <c r="R73" s="424" t="s">
        <v>131</v>
      </c>
      <c r="S73" s="424"/>
      <c r="T73" s="424"/>
      <c r="U73" s="469"/>
      <c r="V73" s="425" t="s">
        <v>246</v>
      </c>
      <c r="W73" s="426"/>
      <c r="X73" s="415"/>
      <c r="Y73" s="415"/>
      <c r="Z73" s="415"/>
      <c r="AA73" s="415"/>
      <c r="AB73" s="415"/>
      <c r="AC73" s="427"/>
      <c r="AD73" s="427"/>
      <c r="AE73" s="427"/>
      <c r="AF73" s="428"/>
      <c r="AG73" s="428"/>
      <c r="AH73" s="428"/>
      <c r="AI73" s="428"/>
      <c r="AJ73" s="428"/>
      <c r="AK73" s="428"/>
      <c r="AL73" s="428"/>
      <c r="AM73" s="428"/>
      <c r="AN73" s="428"/>
      <c r="AO73" s="428"/>
      <c r="AP73" s="428"/>
      <c r="AQ73" s="428"/>
      <c r="AR73" s="428"/>
      <c r="AS73" s="428"/>
      <c r="AT73" s="428"/>
      <c r="AU73" s="428"/>
      <c r="AV73" s="428"/>
      <c r="AW73" s="428"/>
      <c r="AX73" s="428"/>
      <c r="AY73" s="428"/>
      <c r="AZ73" s="428"/>
      <c r="BA73" s="428"/>
      <c r="BB73" s="428"/>
      <c r="BC73" s="428"/>
      <c r="BD73" s="428"/>
      <c r="BE73" s="428"/>
      <c r="BF73" s="428"/>
      <c r="BG73" s="428"/>
      <c r="BH73" s="428"/>
      <c r="BI73" s="428"/>
      <c r="BJ73" s="428"/>
      <c r="BK73" s="428"/>
      <c r="BL73" s="428"/>
      <c r="BM73" s="428"/>
      <c r="BN73" s="428"/>
    </row>
    <row r="74" spans="1:66" s="413" customFormat="1" ht="240" x14ac:dyDescent="0.2">
      <c r="A74" s="462" t="s">
        <v>241</v>
      </c>
      <c r="B74" s="466" t="s">
        <v>259</v>
      </c>
      <c r="C74" s="467" t="s">
        <v>276</v>
      </c>
      <c r="D74" s="466" t="s">
        <v>277</v>
      </c>
      <c r="E74" s="468"/>
      <c r="F74" s="468"/>
      <c r="G74" s="468"/>
      <c r="H74" s="468"/>
      <c r="I74" s="468"/>
      <c r="J74" s="468"/>
      <c r="K74" s="468"/>
      <c r="L74" s="468"/>
      <c r="M74" s="468"/>
      <c r="N74" s="468"/>
      <c r="O74" s="468">
        <v>1</v>
      </c>
      <c r="P74" s="468"/>
      <c r="Q74" s="423">
        <f t="shared" si="1"/>
        <v>1</v>
      </c>
      <c r="R74" s="424"/>
      <c r="S74" s="424"/>
      <c r="T74" s="424" t="s">
        <v>278</v>
      </c>
      <c r="U74" s="469"/>
      <c r="V74" s="425" t="s">
        <v>246</v>
      </c>
      <c r="W74" s="426"/>
      <c r="X74" s="415"/>
      <c r="Y74" s="415"/>
      <c r="Z74" s="415"/>
      <c r="AA74" s="415"/>
      <c r="AB74" s="415"/>
      <c r="AC74" s="427"/>
      <c r="AD74" s="427"/>
      <c r="AE74" s="427"/>
      <c r="AF74" s="428"/>
      <c r="AG74" s="428"/>
      <c r="AH74" s="428"/>
      <c r="AI74" s="428"/>
      <c r="AJ74" s="428"/>
      <c r="AK74" s="428"/>
      <c r="AL74" s="428"/>
      <c r="AM74" s="428"/>
      <c r="AN74" s="428"/>
      <c r="AO74" s="428"/>
      <c r="AP74" s="428"/>
      <c r="AQ74" s="428"/>
      <c r="AR74" s="428"/>
      <c r="AS74" s="428"/>
      <c r="AT74" s="428"/>
      <c r="AU74" s="428"/>
      <c r="AV74" s="428"/>
      <c r="AW74" s="428"/>
      <c r="AX74" s="428"/>
      <c r="AY74" s="428"/>
      <c r="AZ74" s="428"/>
      <c r="BA74" s="428"/>
      <c r="BB74" s="428"/>
      <c r="BC74" s="428"/>
      <c r="BD74" s="428"/>
      <c r="BE74" s="428"/>
      <c r="BF74" s="428"/>
      <c r="BG74" s="428"/>
      <c r="BH74" s="428"/>
      <c r="BI74" s="428"/>
      <c r="BJ74" s="428"/>
      <c r="BK74" s="428"/>
      <c r="BL74" s="428"/>
      <c r="BM74" s="428"/>
      <c r="BN74" s="428"/>
    </row>
    <row r="75" spans="1:66" s="413" customFormat="1" ht="240" x14ac:dyDescent="0.2">
      <c r="A75" s="462" t="s">
        <v>241</v>
      </c>
      <c r="B75" s="466" t="s">
        <v>259</v>
      </c>
      <c r="C75" s="467" t="s">
        <v>279</v>
      </c>
      <c r="D75" s="466" t="s">
        <v>280</v>
      </c>
      <c r="E75" s="468"/>
      <c r="F75" s="468"/>
      <c r="G75" s="468">
        <v>1</v>
      </c>
      <c r="H75" s="468"/>
      <c r="I75" s="468"/>
      <c r="J75" s="468">
        <v>1</v>
      </c>
      <c r="K75" s="468"/>
      <c r="L75" s="468"/>
      <c r="M75" s="468">
        <v>1</v>
      </c>
      <c r="N75" s="468"/>
      <c r="O75" s="468"/>
      <c r="P75" s="468">
        <v>1</v>
      </c>
      <c r="Q75" s="423">
        <f t="shared" si="1"/>
        <v>4</v>
      </c>
      <c r="R75" s="424" t="s">
        <v>101</v>
      </c>
      <c r="S75" s="424"/>
      <c r="T75" s="424"/>
      <c r="U75" s="469"/>
      <c r="V75" s="425" t="s">
        <v>246</v>
      </c>
      <c r="W75" s="426"/>
      <c r="X75" s="415"/>
      <c r="Y75" s="415"/>
      <c r="Z75" s="415"/>
      <c r="AA75" s="415"/>
      <c r="AB75" s="415"/>
      <c r="AC75" s="427"/>
      <c r="AD75" s="427"/>
      <c r="AE75" s="427"/>
      <c r="AF75" s="428"/>
      <c r="AG75" s="428"/>
      <c r="AH75" s="428"/>
      <c r="AI75" s="428"/>
      <c r="AJ75" s="428"/>
      <c r="AK75" s="428"/>
      <c r="AL75" s="428"/>
      <c r="AM75" s="428"/>
      <c r="AN75" s="428"/>
      <c r="AO75" s="428"/>
      <c r="AP75" s="428"/>
      <c r="AQ75" s="428"/>
      <c r="AR75" s="428"/>
      <c r="AS75" s="428"/>
      <c r="AT75" s="428"/>
      <c r="AU75" s="428"/>
      <c r="AV75" s="428"/>
      <c r="AW75" s="428"/>
      <c r="AX75" s="428"/>
      <c r="AY75" s="428"/>
      <c r="AZ75" s="428"/>
      <c r="BA75" s="428"/>
      <c r="BB75" s="428"/>
      <c r="BC75" s="428"/>
      <c r="BD75" s="428"/>
      <c r="BE75" s="428"/>
      <c r="BF75" s="428"/>
      <c r="BG75" s="428"/>
      <c r="BH75" s="428"/>
      <c r="BI75" s="428"/>
      <c r="BJ75" s="428"/>
      <c r="BK75" s="428"/>
      <c r="BL75" s="428"/>
      <c r="BM75" s="428"/>
      <c r="BN75" s="428"/>
    </row>
    <row r="76" spans="1:66" s="413" customFormat="1" ht="240" x14ac:dyDescent="0.2">
      <c r="A76" s="462" t="s">
        <v>241</v>
      </c>
      <c r="B76" s="466" t="s">
        <v>259</v>
      </c>
      <c r="C76" s="467" t="s">
        <v>281</v>
      </c>
      <c r="D76" s="466" t="s">
        <v>282</v>
      </c>
      <c r="E76" s="468"/>
      <c r="F76" s="468"/>
      <c r="G76" s="468"/>
      <c r="H76" s="468"/>
      <c r="I76" s="468"/>
      <c r="J76" s="468"/>
      <c r="K76" s="468"/>
      <c r="L76" s="468"/>
      <c r="M76" s="468"/>
      <c r="N76" s="468"/>
      <c r="O76" s="468">
        <v>1</v>
      </c>
      <c r="P76" s="468"/>
      <c r="Q76" s="423">
        <f t="shared" si="1"/>
        <v>1</v>
      </c>
      <c r="R76" s="424" t="s">
        <v>112</v>
      </c>
      <c r="S76" s="424"/>
      <c r="T76" s="424"/>
      <c r="U76" s="469"/>
      <c r="V76" s="425" t="s">
        <v>246</v>
      </c>
      <c r="W76" s="426"/>
      <c r="X76" s="415"/>
      <c r="Y76" s="415"/>
      <c r="Z76" s="415"/>
      <c r="AA76" s="415"/>
      <c r="AB76" s="415"/>
      <c r="AC76" s="427"/>
      <c r="AD76" s="427"/>
      <c r="AE76" s="427"/>
      <c r="AF76" s="428"/>
      <c r="AG76" s="428"/>
      <c r="AH76" s="428"/>
      <c r="AI76" s="428"/>
      <c r="AJ76" s="428"/>
      <c r="AK76" s="428"/>
      <c r="AL76" s="428"/>
      <c r="AM76" s="428"/>
      <c r="AN76" s="428"/>
      <c r="AO76" s="428"/>
      <c r="AP76" s="428"/>
      <c r="AQ76" s="428"/>
      <c r="AR76" s="428"/>
      <c r="AS76" s="428"/>
      <c r="AT76" s="428"/>
      <c r="AU76" s="428"/>
      <c r="AV76" s="428"/>
      <c r="AW76" s="428"/>
      <c r="AX76" s="428"/>
      <c r="AY76" s="428"/>
      <c r="AZ76" s="428"/>
      <c r="BA76" s="428"/>
      <c r="BB76" s="428"/>
      <c r="BC76" s="428"/>
      <c r="BD76" s="428"/>
      <c r="BE76" s="428"/>
      <c r="BF76" s="428"/>
      <c r="BG76" s="428"/>
      <c r="BH76" s="428"/>
      <c r="BI76" s="428"/>
      <c r="BJ76" s="428"/>
      <c r="BK76" s="428"/>
      <c r="BL76" s="428"/>
      <c r="BM76" s="428"/>
      <c r="BN76" s="428"/>
    </row>
    <row r="77" spans="1:66" s="413" customFormat="1" ht="240" x14ac:dyDescent="0.2">
      <c r="A77" s="462" t="s">
        <v>241</v>
      </c>
      <c r="B77" s="466" t="s">
        <v>259</v>
      </c>
      <c r="C77" s="467" t="s">
        <v>283</v>
      </c>
      <c r="D77" s="466" t="s">
        <v>284</v>
      </c>
      <c r="E77" s="468"/>
      <c r="F77" s="468"/>
      <c r="G77" s="468"/>
      <c r="H77" s="468"/>
      <c r="I77" s="468"/>
      <c r="J77" s="468">
        <v>1</v>
      </c>
      <c r="K77" s="468"/>
      <c r="L77" s="468"/>
      <c r="M77" s="468"/>
      <c r="N77" s="468"/>
      <c r="O77" s="468"/>
      <c r="P77" s="468"/>
      <c r="Q77" s="423">
        <f t="shared" si="1"/>
        <v>1</v>
      </c>
      <c r="R77" s="424" t="s">
        <v>120</v>
      </c>
      <c r="S77" s="424" t="s">
        <v>143</v>
      </c>
      <c r="T77" s="424"/>
      <c r="U77" s="469"/>
      <c r="V77" s="425" t="s">
        <v>246</v>
      </c>
      <c r="W77" s="426"/>
      <c r="X77" s="415"/>
      <c r="Y77" s="415"/>
      <c r="Z77" s="415"/>
      <c r="AA77" s="415"/>
      <c r="AB77" s="415"/>
      <c r="AC77" s="427"/>
      <c r="AD77" s="427"/>
      <c r="AE77" s="427"/>
      <c r="AF77" s="428"/>
      <c r="AG77" s="428"/>
      <c r="AH77" s="428"/>
      <c r="AI77" s="428"/>
      <c r="AJ77" s="428"/>
      <c r="AK77" s="428"/>
      <c r="AL77" s="428"/>
      <c r="AM77" s="428"/>
      <c r="AN77" s="428"/>
      <c r="AO77" s="428"/>
      <c r="AP77" s="428"/>
      <c r="AQ77" s="428"/>
      <c r="AR77" s="428"/>
      <c r="AS77" s="428"/>
      <c r="AT77" s="428"/>
      <c r="AU77" s="428"/>
      <c r="AV77" s="428"/>
      <c r="AW77" s="428"/>
      <c r="AX77" s="428"/>
      <c r="AY77" s="428"/>
      <c r="AZ77" s="428"/>
      <c r="BA77" s="428"/>
      <c r="BB77" s="428"/>
      <c r="BC77" s="428"/>
      <c r="BD77" s="428"/>
      <c r="BE77" s="428"/>
      <c r="BF77" s="428"/>
      <c r="BG77" s="428"/>
      <c r="BH77" s="428"/>
      <c r="BI77" s="428"/>
      <c r="BJ77" s="428"/>
      <c r="BK77" s="428"/>
      <c r="BL77" s="428"/>
      <c r="BM77" s="428"/>
      <c r="BN77" s="428"/>
    </row>
    <row r="78" spans="1:66" s="413" customFormat="1" ht="240" x14ac:dyDescent="0.2">
      <c r="A78" s="462" t="s">
        <v>241</v>
      </c>
      <c r="B78" s="466" t="s">
        <v>285</v>
      </c>
      <c r="C78" s="461" t="s">
        <v>286</v>
      </c>
      <c r="D78" s="461" t="s">
        <v>287</v>
      </c>
      <c r="E78" s="468"/>
      <c r="F78" s="468"/>
      <c r="G78" s="468"/>
      <c r="H78" s="468"/>
      <c r="I78" s="468"/>
      <c r="J78" s="468">
        <v>1</v>
      </c>
      <c r="K78" s="468"/>
      <c r="L78" s="468"/>
      <c r="M78" s="468"/>
      <c r="N78" s="468"/>
      <c r="O78" s="468"/>
      <c r="P78" s="468">
        <v>1</v>
      </c>
      <c r="Q78" s="423">
        <f t="shared" si="1"/>
        <v>2</v>
      </c>
      <c r="R78" s="424" t="s">
        <v>112</v>
      </c>
      <c r="S78" s="424" t="s">
        <v>258</v>
      </c>
      <c r="T78" s="424"/>
      <c r="U78" s="469"/>
      <c r="V78" s="425" t="s">
        <v>288</v>
      </c>
      <c r="W78" s="426"/>
      <c r="X78" s="415"/>
      <c r="Y78" s="415"/>
      <c r="Z78" s="415"/>
      <c r="AA78" s="415"/>
      <c r="AB78" s="415"/>
      <c r="AC78" s="427"/>
      <c r="AD78" s="427"/>
      <c r="AE78" s="427"/>
      <c r="AF78" s="428"/>
      <c r="AG78" s="428"/>
      <c r="AH78" s="428"/>
      <c r="AI78" s="428"/>
      <c r="AJ78" s="428"/>
      <c r="AK78" s="428"/>
      <c r="AL78" s="428"/>
      <c r="AM78" s="428"/>
      <c r="AN78" s="428"/>
      <c r="AO78" s="428"/>
      <c r="AP78" s="428"/>
      <c r="AQ78" s="428"/>
      <c r="AR78" s="428"/>
      <c r="AS78" s="428"/>
      <c r="AT78" s="428"/>
      <c r="AU78" s="428"/>
      <c r="AV78" s="428"/>
      <c r="AW78" s="428"/>
      <c r="AX78" s="428"/>
      <c r="AY78" s="428"/>
      <c r="AZ78" s="428"/>
      <c r="BA78" s="428"/>
      <c r="BB78" s="428"/>
      <c r="BC78" s="428"/>
      <c r="BD78" s="428"/>
      <c r="BE78" s="428"/>
      <c r="BF78" s="428"/>
      <c r="BG78" s="428"/>
      <c r="BH78" s="428"/>
      <c r="BI78" s="428"/>
      <c r="BJ78" s="428"/>
      <c r="BK78" s="428"/>
      <c r="BL78" s="428"/>
      <c r="BM78" s="428"/>
      <c r="BN78" s="428"/>
    </row>
    <row r="79" spans="1:66" s="413" customFormat="1" ht="240" x14ac:dyDescent="0.2">
      <c r="A79" s="462" t="s">
        <v>241</v>
      </c>
      <c r="B79" s="466" t="s">
        <v>285</v>
      </c>
      <c r="C79" s="461" t="s">
        <v>289</v>
      </c>
      <c r="D79" s="461" t="s">
        <v>290</v>
      </c>
      <c r="E79" s="468"/>
      <c r="F79" s="468"/>
      <c r="G79" s="468">
        <v>1</v>
      </c>
      <c r="H79" s="468"/>
      <c r="I79" s="468"/>
      <c r="J79" s="468">
        <v>1</v>
      </c>
      <c r="K79" s="468"/>
      <c r="L79" s="468"/>
      <c r="M79" s="468">
        <v>1</v>
      </c>
      <c r="N79" s="468"/>
      <c r="O79" s="468"/>
      <c r="P79" s="468">
        <v>1</v>
      </c>
      <c r="Q79" s="423">
        <f t="shared" si="1"/>
        <v>4</v>
      </c>
      <c r="R79" s="424" t="s">
        <v>101</v>
      </c>
      <c r="S79" s="424"/>
      <c r="T79" s="424"/>
      <c r="U79" s="469"/>
      <c r="V79" s="425" t="s">
        <v>288</v>
      </c>
      <c r="W79" s="426"/>
      <c r="X79" s="415"/>
      <c r="Y79" s="415"/>
      <c r="Z79" s="415"/>
      <c r="AA79" s="415"/>
      <c r="AB79" s="415"/>
      <c r="AC79" s="427"/>
      <c r="AD79" s="427"/>
      <c r="AE79" s="427"/>
      <c r="AF79" s="428"/>
      <c r="AG79" s="428"/>
      <c r="AH79" s="428"/>
      <c r="AI79" s="428"/>
      <c r="AJ79" s="428"/>
      <c r="AK79" s="428"/>
      <c r="AL79" s="428"/>
      <c r="AM79" s="428"/>
      <c r="AN79" s="428"/>
      <c r="AO79" s="428"/>
      <c r="AP79" s="428"/>
      <c r="AQ79" s="428"/>
      <c r="AR79" s="428"/>
      <c r="AS79" s="428"/>
      <c r="AT79" s="428"/>
      <c r="AU79" s="428"/>
      <c r="AV79" s="428"/>
      <c r="AW79" s="428"/>
      <c r="AX79" s="428"/>
      <c r="AY79" s="428"/>
      <c r="AZ79" s="428"/>
      <c r="BA79" s="428"/>
      <c r="BB79" s="428"/>
      <c r="BC79" s="428"/>
      <c r="BD79" s="428"/>
      <c r="BE79" s="428"/>
      <c r="BF79" s="428"/>
      <c r="BG79" s="428"/>
      <c r="BH79" s="428"/>
      <c r="BI79" s="428"/>
      <c r="BJ79" s="428"/>
      <c r="BK79" s="428"/>
      <c r="BL79" s="428"/>
      <c r="BM79" s="428"/>
      <c r="BN79" s="428"/>
    </row>
    <row r="80" spans="1:66" s="413" customFormat="1" ht="75" x14ac:dyDescent="0.2">
      <c r="A80" s="462" t="s">
        <v>291</v>
      </c>
      <c r="B80" s="463" t="s">
        <v>292</v>
      </c>
      <c r="C80" s="464" t="s">
        <v>293</v>
      </c>
      <c r="D80" s="463" t="s">
        <v>294</v>
      </c>
      <c r="E80" s="465"/>
      <c r="F80" s="465"/>
      <c r="G80" s="465">
        <v>1</v>
      </c>
      <c r="H80" s="465"/>
      <c r="I80" s="465"/>
      <c r="J80" s="465">
        <v>1</v>
      </c>
      <c r="K80" s="465"/>
      <c r="L80" s="465"/>
      <c r="M80" s="465">
        <v>1</v>
      </c>
      <c r="N80" s="465"/>
      <c r="O80" s="465">
        <v>1</v>
      </c>
      <c r="P80" s="465"/>
      <c r="Q80" s="423">
        <f t="shared" si="1"/>
        <v>4</v>
      </c>
      <c r="R80" s="424" t="s">
        <v>112</v>
      </c>
      <c r="S80" s="424"/>
      <c r="T80" s="424"/>
      <c r="U80" s="462"/>
      <c r="V80" s="425" t="s">
        <v>295</v>
      </c>
      <c r="W80" s="426"/>
      <c r="X80" s="415"/>
      <c r="Y80" s="415"/>
      <c r="Z80" s="415"/>
      <c r="AA80" s="415"/>
      <c r="AB80" s="415"/>
      <c r="AC80" s="427"/>
      <c r="AD80" s="427"/>
      <c r="AE80" s="427"/>
      <c r="AF80" s="428"/>
      <c r="AG80" s="428"/>
      <c r="AH80" s="428"/>
      <c r="AI80" s="428"/>
      <c r="AJ80" s="428"/>
      <c r="AK80" s="428"/>
      <c r="AL80" s="428"/>
      <c r="AM80" s="428"/>
      <c r="AN80" s="428"/>
      <c r="AO80" s="428"/>
      <c r="AP80" s="428"/>
      <c r="AQ80" s="428"/>
      <c r="AR80" s="428"/>
      <c r="AS80" s="428"/>
      <c r="AT80" s="428"/>
      <c r="AU80" s="428"/>
      <c r="AV80" s="428"/>
      <c r="AW80" s="428"/>
      <c r="AX80" s="428"/>
      <c r="AY80" s="428"/>
      <c r="AZ80" s="428"/>
      <c r="BA80" s="428"/>
      <c r="BB80" s="428"/>
      <c r="BC80" s="428"/>
      <c r="BD80" s="428"/>
      <c r="BE80" s="428"/>
      <c r="BF80" s="428"/>
      <c r="BG80" s="428"/>
      <c r="BH80" s="428"/>
      <c r="BI80" s="428"/>
      <c r="BJ80" s="428"/>
      <c r="BK80" s="428"/>
      <c r="BL80" s="428"/>
      <c r="BM80" s="428"/>
      <c r="BN80" s="428"/>
    </row>
    <row r="81" spans="1:66" s="413" customFormat="1" ht="75" x14ac:dyDescent="0.2">
      <c r="A81" s="462" t="s">
        <v>291</v>
      </c>
      <c r="B81" s="463" t="s">
        <v>292</v>
      </c>
      <c r="C81" s="464" t="s">
        <v>296</v>
      </c>
      <c r="D81" s="466" t="s">
        <v>297</v>
      </c>
      <c r="E81" s="468"/>
      <c r="F81" s="468">
        <v>1</v>
      </c>
      <c r="G81" s="468"/>
      <c r="H81" s="468">
        <v>1</v>
      </c>
      <c r="I81" s="468"/>
      <c r="J81" s="468">
        <v>1</v>
      </c>
      <c r="K81" s="468"/>
      <c r="L81" s="468">
        <v>1</v>
      </c>
      <c r="M81" s="468"/>
      <c r="N81" s="468">
        <v>1</v>
      </c>
      <c r="O81" s="468"/>
      <c r="P81" s="468"/>
      <c r="Q81" s="423">
        <f t="shared" si="1"/>
        <v>5</v>
      </c>
      <c r="R81" s="424" t="s">
        <v>120</v>
      </c>
      <c r="S81" s="424" t="s">
        <v>161</v>
      </c>
      <c r="T81" s="424"/>
      <c r="U81" s="469"/>
      <c r="V81" s="425" t="s">
        <v>295</v>
      </c>
      <c r="W81" s="426"/>
      <c r="X81" s="415"/>
      <c r="Y81" s="415"/>
      <c r="Z81" s="415"/>
      <c r="AA81" s="415"/>
      <c r="AB81" s="415"/>
      <c r="AC81" s="427"/>
      <c r="AD81" s="427"/>
      <c r="AE81" s="427"/>
      <c r="AF81" s="428"/>
      <c r="AG81" s="428"/>
      <c r="AH81" s="428"/>
      <c r="AI81" s="428"/>
      <c r="AJ81" s="428"/>
      <c r="AK81" s="428"/>
      <c r="AL81" s="428"/>
      <c r="AM81" s="428"/>
      <c r="AN81" s="428"/>
      <c r="AO81" s="428"/>
      <c r="AP81" s="428"/>
      <c r="AQ81" s="428"/>
      <c r="AR81" s="428"/>
      <c r="AS81" s="428"/>
      <c r="AT81" s="428"/>
      <c r="AU81" s="428"/>
      <c r="AV81" s="428"/>
      <c r="AW81" s="428"/>
      <c r="AX81" s="428"/>
      <c r="AY81" s="428"/>
      <c r="AZ81" s="428"/>
      <c r="BA81" s="428"/>
      <c r="BB81" s="428"/>
      <c r="BC81" s="428"/>
      <c r="BD81" s="428"/>
      <c r="BE81" s="428"/>
      <c r="BF81" s="428"/>
      <c r="BG81" s="428"/>
      <c r="BH81" s="428"/>
      <c r="BI81" s="428"/>
      <c r="BJ81" s="428"/>
      <c r="BK81" s="428"/>
      <c r="BL81" s="428"/>
      <c r="BM81" s="428"/>
      <c r="BN81" s="428"/>
    </row>
    <row r="82" spans="1:66" s="413" customFormat="1" ht="75" x14ac:dyDescent="0.2">
      <c r="A82" s="462" t="s">
        <v>291</v>
      </c>
      <c r="B82" s="463" t="s">
        <v>292</v>
      </c>
      <c r="C82" s="464" t="s">
        <v>298</v>
      </c>
      <c r="D82" s="463" t="s">
        <v>299</v>
      </c>
      <c r="E82" s="465"/>
      <c r="F82" s="465"/>
      <c r="G82" s="465"/>
      <c r="H82" s="465"/>
      <c r="I82" s="465"/>
      <c r="J82" s="465"/>
      <c r="K82" s="465"/>
      <c r="L82" s="465"/>
      <c r="M82" s="465">
        <v>1</v>
      </c>
      <c r="N82" s="465"/>
      <c r="O82" s="465"/>
      <c r="P82" s="465"/>
      <c r="Q82" s="423">
        <f t="shared" si="1"/>
        <v>1</v>
      </c>
      <c r="R82" s="424" t="s">
        <v>112</v>
      </c>
      <c r="S82" s="424"/>
      <c r="T82" s="424"/>
      <c r="U82" s="462"/>
      <c r="V82" s="425" t="s">
        <v>295</v>
      </c>
      <c r="W82" s="426"/>
      <c r="X82" s="415"/>
      <c r="Y82" s="415"/>
      <c r="Z82" s="415"/>
      <c r="AA82" s="415"/>
      <c r="AB82" s="415"/>
      <c r="AC82" s="427"/>
      <c r="AD82" s="427"/>
      <c r="AE82" s="427"/>
      <c r="AF82" s="428"/>
      <c r="AG82" s="428"/>
      <c r="AH82" s="428"/>
      <c r="AI82" s="428"/>
      <c r="AJ82" s="428"/>
      <c r="AK82" s="428"/>
      <c r="AL82" s="428"/>
      <c r="AM82" s="428"/>
      <c r="AN82" s="428"/>
      <c r="AO82" s="428"/>
      <c r="AP82" s="428"/>
      <c r="AQ82" s="428"/>
      <c r="AR82" s="428"/>
      <c r="AS82" s="428"/>
      <c r="AT82" s="428"/>
      <c r="AU82" s="428"/>
      <c r="AV82" s="428"/>
      <c r="AW82" s="428"/>
      <c r="AX82" s="428"/>
      <c r="AY82" s="428"/>
      <c r="AZ82" s="428"/>
      <c r="BA82" s="428"/>
      <c r="BB82" s="428"/>
      <c r="BC82" s="428"/>
      <c r="BD82" s="428"/>
      <c r="BE82" s="428"/>
      <c r="BF82" s="428"/>
      <c r="BG82" s="428"/>
      <c r="BH82" s="428"/>
      <c r="BI82" s="428"/>
      <c r="BJ82" s="428"/>
      <c r="BK82" s="428"/>
      <c r="BL82" s="428"/>
      <c r="BM82" s="428"/>
      <c r="BN82" s="428"/>
    </row>
    <row r="83" spans="1:66" s="413" customFormat="1" ht="150" x14ac:dyDescent="0.2">
      <c r="A83" s="462" t="s">
        <v>291</v>
      </c>
      <c r="B83" s="463" t="s">
        <v>300</v>
      </c>
      <c r="C83" s="464" t="s">
        <v>301</v>
      </c>
      <c r="D83" s="430" t="s">
        <v>302</v>
      </c>
      <c r="E83" s="468"/>
      <c r="F83" s="468"/>
      <c r="G83" s="468"/>
      <c r="H83" s="468">
        <v>1</v>
      </c>
      <c r="I83" s="468"/>
      <c r="J83" s="468"/>
      <c r="K83" s="468"/>
      <c r="L83" s="468"/>
      <c r="M83" s="468">
        <v>1</v>
      </c>
      <c r="N83" s="468"/>
      <c r="O83" s="468"/>
      <c r="P83" s="468"/>
      <c r="Q83" s="423">
        <f t="shared" si="1"/>
        <v>2</v>
      </c>
      <c r="R83" s="424"/>
      <c r="S83" s="424"/>
      <c r="T83" s="424" t="s">
        <v>303</v>
      </c>
      <c r="U83" s="471" t="s">
        <v>176</v>
      </c>
      <c r="V83" s="429" t="s">
        <v>304</v>
      </c>
      <c r="W83" s="426"/>
      <c r="X83" s="415"/>
      <c r="Y83" s="415"/>
      <c r="Z83" s="415"/>
      <c r="AA83" s="415"/>
      <c r="AB83" s="415"/>
      <c r="AC83" s="427"/>
      <c r="AD83" s="427"/>
      <c r="AE83" s="427"/>
      <c r="AF83" s="428"/>
      <c r="AG83" s="428"/>
      <c r="AH83" s="428"/>
      <c r="AI83" s="428"/>
      <c r="AJ83" s="428"/>
      <c r="AK83" s="428"/>
      <c r="AL83" s="428"/>
      <c r="AM83" s="428"/>
      <c r="AN83" s="428"/>
      <c r="AO83" s="428"/>
      <c r="AP83" s="428"/>
      <c r="AQ83" s="428"/>
      <c r="AR83" s="428"/>
      <c r="AS83" s="428"/>
      <c r="AT83" s="428"/>
      <c r="AU83" s="428"/>
      <c r="AV83" s="428"/>
      <c r="AW83" s="428"/>
      <c r="AX83" s="428"/>
      <c r="AY83" s="428"/>
      <c r="AZ83" s="428"/>
      <c r="BA83" s="428"/>
      <c r="BB83" s="428"/>
      <c r="BC83" s="428"/>
      <c r="BD83" s="428"/>
      <c r="BE83" s="428"/>
      <c r="BF83" s="428"/>
      <c r="BG83" s="428"/>
      <c r="BH83" s="428"/>
      <c r="BI83" s="428"/>
      <c r="BJ83" s="428"/>
      <c r="BK83" s="428"/>
      <c r="BL83" s="428"/>
      <c r="BM83" s="428"/>
      <c r="BN83" s="428"/>
    </row>
    <row r="84" spans="1:66" s="413" customFormat="1" ht="105" customHeight="1" x14ac:dyDescent="0.2">
      <c r="A84" s="462" t="s">
        <v>291</v>
      </c>
      <c r="B84" s="463" t="s">
        <v>300</v>
      </c>
      <c r="C84" s="464" t="s">
        <v>305</v>
      </c>
      <c r="D84" s="430" t="s">
        <v>306</v>
      </c>
      <c r="E84" s="465"/>
      <c r="F84" s="465">
        <v>1</v>
      </c>
      <c r="G84" s="465"/>
      <c r="H84" s="465"/>
      <c r="I84" s="465">
        <v>1</v>
      </c>
      <c r="J84" s="465"/>
      <c r="K84" s="465"/>
      <c r="L84" s="465">
        <v>1</v>
      </c>
      <c r="M84" s="465"/>
      <c r="N84" s="465"/>
      <c r="O84" s="465"/>
      <c r="P84" s="465"/>
      <c r="Q84" s="423">
        <f t="shared" si="1"/>
        <v>3</v>
      </c>
      <c r="R84" s="424" t="s">
        <v>112</v>
      </c>
      <c r="S84" s="424"/>
      <c r="T84" s="472" t="s">
        <v>176</v>
      </c>
      <c r="U84" s="458"/>
      <c r="V84" s="425" t="s">
        <v>304</v>
      </c>
      <c r="W84" s="426"/>
      <c r="X84" s="415"/>
      <c r="Y84" s="415"/>
      <c r="Z84" s="415"/>
      <c r="AA84" s="415"/>
      <c r="AB84" s="415"/>
      <c r="AC84" s="427"/>
      <c r="AD84" s="427"/>
      <c r="AE84" s="427"/>
      <c r="AF84" s="428"/>
      <c r="AG84" s="428"/>
      <c r="AH84" s="428"/>
      <c r="AI84" s="428"/>
      <c r="AJ84" s="428"/>
      <c r="AK84" s="428"/>
      <c r="AL84" s="428"/>
      <c r="AM84" s="428"/>
      <c r="AN84" s="428"/>
      <c r="AO84" s="428"/>
      <c r="AP84" s="428"/>
      <c r="AQ84" s="428"/>
      <c r="AR84" s="428"/>
      <c r="AS84" s="428"/>
      <c r="AT84" s="428"/>
      <c r="AU84" s="428"/>
      <c r="AV84" s="428"/>
      <c r="AW84" s="428"/>
      <c r="AX84" s="428"/>
      <c r="AY84" s="428"/>
      <c r="AZ84" s="428"/>
      <c r="BA84" s="428"/>
      <c r="BB84" s="428"/>
      <c r="BC84" s="428"/>
      <c r="BD84" s="428"/>
      <c r="BE84" s="428"/>
      <c r="BF84" s="428"/>
      <c r="BG84" s="428"/>
      <c r="BH84" s="428"/>
      <c r="BI84" s="428"/>
      <c r="BJ84" s="428"/>
      <c r="BK84" s="428"/>
      <c r="BL84" s="428"/>
      <c r="BM84" s="428"/>
      <c r="BN84" s="428"/>
    </row>
    <row r="85" spans="1:66" s="413" customFormat="1" ht="99.75" customHeight="1" x14ac:dyDescent="0.2">
      <c r="A85" s="462" t="s">
        <v>291</v>
      </c>
      <c r="B85" s="463" t="s">
        <v>300</v>
      </c>
      <c r="C85" s="464" t="s">
        <v>307</v>
      </c>
      <c r="D85" s="430" t="s">
        <v>308</v>
      </c>
      <c r="E85" s="444"/>
      <c r="F85" s="444">
        <v>1</v>
      </c>
      <c r="G85" s="444"/>
      <c r="H85" s="444"/>
      <c r="I85" s="444">
        <v>1</v>
      </c>
      <c r="J85" s="444"/>
      <c r="K85" s="444">
        <v>1</v>
      </c>
      <c r="L85" s="444"/>
      <c r="M85" s="445"/>
      <c r="N85" s="445"/>
      <c r="O85" s="445"/>
      <c r="P85" s="445"/>
      <c r="Q85" s="423">
        <f t="shared" si="1"/>
        <v>3</v>
      </c>
      <c r="R85" s="472" t="s">
        <v>309</v>
      </c>
      <c r="S85" s="424"/>
      <c r="T85" s="472" t="s">
        <v>176</v>
      </c>
      <c r="U85" s="458"/>
      <c r="V85" s="425" t="s">
        <v>304</v>
      </c>
      <c r="W85" s="426"/>
      <c r="X85" s="415"/>
      <c r="Y85" s="415"/>
      <c r="Z85" s="415"/>
      <c r="AA85" s="415"/>
      <c r="AB85" s="415"/>
      <c r="AC85" s="427"/>
      <c r="AD85" s="427"/>
      <c r="AE85" s="427"/>
      <c r="AF85" s="428"/>
      <c r="AG85" s="428"/>
      <c r="AH85" s="428"/>
      <c r="AI85" s="428"/>
      <c r="AJ85" s="428"/>
      <c r="AK85" s="428"/>
      <c r="AL85" s="428"/>
      <c r="AM85" s="428"/>
      <c r="AN85" s="428"/>
      <c r="AO85" s="428"/>
      <c r="AP85" s="428"/>
      <c r="AQ85" s="428"/>
      <c r="AR85" s="428"/>
      <c r="AS85" s="428"/>
      <c r="AT85" s="428"/>
      <c r="AU85" s="428"/>
      <c r="AV85" s="428"/>
      <c r="AW85" s="428"/>
      <c r="AX85" s="428"/>
      <c r="AY85" s="428"/>
      <c r="AZ85" s="428"/>
      <c r="BA85" s="428"/>
      <c r="BB85" s="428"/>
      <c r="BC85" s="428"/>
      <c r="BD85" s="428"/>
      <c r="BE85" s="428"/>
      <c r="BF85" s="428"/>
      <c r="BG85" s="428"/>
      <c r="BH85" s="428"/>
      <c r="BI85" s="428"/>
      <c r="BJ85" s="428"/>
      <c r="BK85" s="428"/>
      <c r="BL85" s="428"/>
      <c r="BM85" s="428"/>
      <c r="BN85" s="428"/>
    </row>
    <row r="86" spans="1:66" s="413" customFormat="1" ht="150" x14ac:dyDescent="0.2">
      <c r="A86" s="462" t="s">
        <v>291</v>
      </c>
      <c r="B86" s="463" t="s">
        <v>300</v>
      </c>
      <c r="C86" s="464" t="s">
        <v>310</v>
      </c>
      <c r="D86" s="430" t="s">
        <v>311</v>
      </c>
      <c r="E86" s="444">
        <v>1</v>
      </c>
      <c r="F86" s="444"/>
      <c r="G86" s="444"/>
      <c r="H86" s="444"/>
      <c r="I86" s="444"/>
      <c r="J86" s="444">
        <v>1</v>
      </c>
      <c r="K86" s="444"/>
      <c r="L86" s="444"/>
      <c r="M86" s="445"/>
      <c r="N86" s="445"/>
      <c r="O86" s="445"/>
      <c r="P86" s="445"/>
      <c r="Q86" s="423">
        <f t="shared" si="1"/>
        <v>2</v>
      </c>
      <c r="R86" s="424" t="s">
        <v>112</v>
      </c>
      <c r="S86" s="424"/>
      <c r="T86" s="424"/>
      <c r="U86" s="469"/>
      <c r="V86" s="429" t="s">
        <v>304</v>
      </c>
      <c r="W86" s="426"/>
      <c r="X86" s="415"/>
      <c r="Y86" s="415"/>
      <c r="Z86" s="415"/>
      <c r="AA86" s="415"/>
      <c r="AB86" s="415"/>
      <c r="AC86" s="427"/>
      <c r="AD86" s="427"/>
      <c r="AE86" s="427"/>
      <c r="AF86" s="428"/>
      <c r="AG86" s="428"/>
      <c r="AH86" s="428"/>
      <c r="AI86" s="428"/>
      <c r="AJ86" s="428"/>
      <c r="AK86" s="428"/>
      <c r="AL86" s="428"/>
      <c r="AM86" s="428"/>
      <c r="AN86" s="428"/>
      <c r="AO86" s="428"/>
      <c r="AP86" s="428"/>
      <c r="AQ86" s="428"/>
      <c r="AR86" s="428"/>
      <c r="AS86" s="428"/>
      <c r="AT86" s="428"/>
      <c r="AU86" s="428"/>
      <c r="AV86" s="428"/>
      <c r="AW86" s="428"/>
      <c r="AX86" s="428"/>
      <c r="AY86" s="428"/>
      <c r="AZ86" s="428"/>
      <c r="BA86" s="428"/>
      <c r="BB86" s="428"/>
      <c r="BC86" s="428"/>
      <c r="BD86" s="428"/>
      <c r="BE86" s="428"/>
      <c r="BF86" s="428"/>
      <c r="BG86" s="428"/>
      <c r="BH86" s="428"/>
      <c r="BI86" s="428"/>
      <c r="BJ86" s="428"/>
      <c r="BK86" s="428"/>
      <c r="BL86" s="428"/>
      <c r="BM86" s="428"/>
      <c r="BN86" s="428"/>
    </row>
    <row r="87" spans="1:66" s="413" customFormat="1" ht="150" x14ac:dyDescent="0.2">
      <c r="A87" s="462" t="s">
        <v>291</v>
      </c>
      <c r="B87" s="463" t="s">
        <v>300</v>
      </c>
      <c r="C87" s="464" t="s">
        <v>312</v>
      </c>
      <c r="D87" s="430" t="s">
        <v>313</v>
      </c>
      <c r="E87" s="444">
        <v>1</v>
      </c>
      <c r="F87" s="444"/>
      <c r="G87" s="444"/>
      <c r="H87" s="444"/>
      <c r="I87" s="444"/>
      <c r="J87" s="444">
        <v>1</v>
      </c>
      <c r="K87" s="444"/>
      <c r="L87" s="444"/>
      <c r="M87" s="445"/>
      <c r="N87" s="445"/>
      <c r="O87" s="445"/>
      <c r="P87" s="445"/>
      <c r="Q87" s="423">
        <f t="shared" si="1"/>
        <v>2</v>
      </c>
      <c r="R87" s="424"/>
      <c r="S87" s="424"/>
      <c r="T87" s="440" t="s">
        <v>314</v>
      </c>
      <c r="U87" s="462"/>
      <c r="V87" s="425" t="s">
        <v>304</v>
      </c>
      <c r="W87" s="426"/>
      <c r="X87" s="415"/>
      <c r="Y87" s="415"/>
      <c r="Z87" s="415"/>
      <c r="AA87" s="415"/>
      <c r="AB87" s="415"/>
      <c r="AC87" s="427"/>
      <c r="AD87" s="427"/>
      <c r="AE87" s="427"/>
      <c r="AF87" s="428"/>
      <c r="AG87" s="428"/>
      <c r="AH87" s="428"/>
      <c r="AI87" s="428"/>
      <c r="AJ87" s="428"/>
      <c r="AK87" s="428"/>
      <c r="AL87" s="428"/>
      <c r="AM87" s="428"/>
      <c r="AN87" s="428"/>
      <c r="AO87" s="428"/>
      <c r="AP87" s="428"/>
      <c r="AQ87" s="428"/>
      <c r="AR87" s="428"/>
      <c r="AS87" s="428"/>
      <c r="AT87" s="428"/>
      <c r="AU87" s="428"/>
      <c r="AV87" s="428"/>
      <c r="AW87" s="428"/>
      <c r="AX87" s="428"/>
      <c r="AY87" s="428"/>
      <c r="AZ87" s="428"/>
      <c r="BA87" s="428"/>
      <c r="BB87" s="428"/>
      <c r="BC87" s="428"/>
      <c r="BD87" s="428"/>
      <c r="BE87" s="428"/>
      <c r="BF87" s="428"/>
      <c r="BG87" s="428"/>
      <c r="BH87" s="428"/>
      <c r="BI87" s="428"/>
      <c r="BJ87" s="428"/>
      <c r="BK87" s="428"/>
      <c r="BL87" s="428"/>
      <c r="BM87" s="428"/>
      <c r="BN87" s="428"/>
    </row>
    <row r="88" spans="1:66" s="413" customFormat="1" ht="150" x14ac:dyDescent="0.2">
      <c r="A88" s="462" t="s">
        <v>291</v>
      </c>
      <c r="B88" s="463" t="s">
        <v>300</v>
      </c>
      <c r="C88" s="464" t="s">
        <v>315</v>
      </c>
      <c r="D88" s="430" t="s">
        <v>316</v>
      </c>
      <c r="E88" s="465"/>
      <c r="F88" s="465">
        <v>1</v>
      </c>
      <c r="G88" s="465"/>
      <c r="H88" s="465"/>
      <c r="I88" s="465">
        <v>1</v>
      </c>
      <c r="J88" s="465"/>
      <c r="K88" s="465"/>
      <c r="L88" s="465">
        <v>1</v>
      </c>
      <c r="M88" s="465"/>
      <c r="N88" s="465"/>
      <c r="O88" s="465"/>
      <c r="P88" s="465"/>
      <c r="Q88" s="423">
        <f t="shared" si="1"/>
        <v>3</v>
      </c>
      <c r="R88" s="424" t="s">
        <v>101</v>
      </c>
      <c r="S88" s="424"/>
      <c r="T88" s="440" t="s">
        <v>317</v>
      </c>
      <c r="U88" s="458"/>
      <c r="V88" s="425" t="s">
        <v>304</v>
      </c>
      <c r="W88" s="426"/>
      <c r="X88" s="415"/>
      <c r="Y88" s="415"/>
      <c r="Z88" s="415"/>
      <c r="AA88" s="415"/>
      <c r="AB88" s="415"/>
      <c r="AC88" s="427"/>
      <c r="AD88" s="427"/>
      <c r="AE88" s="427"/>
      <c r="AF88" s="428"/>
      <c r="AG88" s="428"/>
      <c r="AH88" s="428"/>
      <c r="AI88" s="428"/>
      <c r="AJ88" s="428"/>
      <c r="AK88" s="428"/>
      <c r="AL88" s="428"/>
      <c r="AM88" s="428"/>
      <c r="AN88" s="428"/>
      <c r="AO88" s="428"/>
      <c r="AP88" s="428"/>
      <c r="AQ88" s="428"/>
      <c r="AR88" s="428"/>
      <c r="AS88" s="428"/>
      <c r="AT88" s="428"/>
      <c r="AU88" s="428"/>
      <c r="AV88" s="428"/>
      <c r="AW88" s="428"/>
      <c r="AX88" s="428"/>
      <c r="AY88" s="428"/>
      <c r="AZ88" s="428"/>
      <c r="BA88" s="428"/>
      <c r="BB88" s="428"/>
      <c r="BC88" s="428"/>
      <c r="BD88" s="428"/>
      <c r="BE88" s="428"/>
      <c r="BF88" s="428"/>
      <c r="BG88" s="428"/>
      <c r="BH88" s="428"/>
      <c r="BI88" s="428"/>
      <c r="BJ88" s="428"/>
      <c r="BK88" s="428"/>
      <c r="BL88" s="428"/>
      <c r="BM88" s="428"/>
      <c r="BN88" s="428"/>
    </row>
    <row r="89" spans="1:66" s="413" customFormat="1" ht="150" x14ac:dyDescent="0.2">
      <c r="A89" s="462" t="s">
        <v>291</v>
      </c>
      <c r="B89" s="463" t="s">
        <v>300</v>
      </c>
      <c r="C89" s="464" t="s">
        <v>318</v>
      </c>
      <c r="D89" s="430" t="s">
        <v>319</v>
      </c>
      <c r="E89" s="465"/>
      <c r="F89" s="465"/>
      <c r="G89" s="465">
        <v>1</v>
      </c>
      <c r="H89" s="465"/>
      <c r="I89" s="465"/>
      <c r="J89" s="465"/>
      <c r="K89" s="465"/>
      <c r="L89" s="465"/>
      <c r="M89" s="465">
        <v>1</v>
      </c>
      <c r="N89" s="465"/>
      <c r="O89" s="465"/>
      <c r="P89" s="465"/>
      <c r="Q89" s="423">
        <f t="shared" si="1"/>
        <v>2</v>
      </c>
      <c r="R89" s="424"/>
      <c r="S89" s="424"/>
      <c r="T89" s="440" t="s">
        <v>320</v>
      </c>
      <c r="U89" s="462"/>
      <c r="V89" s="425" t="s">
        <v>304</v>
      </c>
      <c r="W89" s="426"/>
      <c r="X89" s="415"/>
      <c r="Y89" s="415"/>
      <c r="Z89" s="415"/>
      <c r="AA89" s="415"/>
      <c r="AB89" s="415"/>
      <c r="AC89" s="427"/>
      <c r="AD89" s="427"/>
      <c r="AE89" s="427"/>
      <c r="AF89" s="428"/>
      <c r="AG89" s="428"/>
      <c r="AH89" s="428"/>
      <c r="AI89" s="428"/>
      <c r="AJ89" s="428"/>
      <c r="AK89" s="428"/>
      <c r="AL89" s="428"/>
      <c r="AM89" s="428"/>
      <c r="AN89" s="428"/>
      <c r="AO89" s="428"/>
      <c r="AP89" s="428"/>
      <c r="AQ89" s="428"/>
      <c r="AR89" s="428"/>
      <c r="AS89" s="428"/>
      <c r="AT89" s="428"/>
      <c r="AU89" s="428"/>
      <c r="AV89" s="428"/>
      <c r="AW89" s="428"/>
      <c r="AX89" s="428"/>
      <c r="AY89" s="428"/>
      <c r="AZ89" s="428"/>
      <c r="BA89" s="428"/>
      <c r="BB89" s="428"/>
      <c r="BC89" s="428"/>
      <c r="BD89" s="428"/>
      <c r="BE89" s="428"/>
      <c r="BF89" s="428"/>
      <c r="BG89" s="428"/>
      <c r="BH89" s="428"/>
      <c r="BI89" s="428"/>
      <c r="BJ89" s="428"/>
      <c r="BK89" s="428"/>
      <c r="BL89" s="428"/>
      <c r="BM89" s="428"/>
      <c r="BN89" s="428"/>
    </row>
    <row r="90" spans="1:66" s="413" customFormat="1" ht="150" x14ac:dyDescent="0.2">
      <c r="A90" s="462" t="s">
        <v>291</v>
      </c>
      <c r="B90" s="463" t="s">
        <v>300</v>
      </c>
      <c r="C90" s="464" t="s">
        <v>321</v>
      </c>
      <c r="D90" s="430" t="s">
        <v>322</v>
      </c>
      <c r="E90" s="468">
        <v>1</v>
      </c>
      <c r="F90" s="468">
        <v>1</v>
      </c>
      <c r="G90" s="468">
        <v>1</v>
      </c>
      <c r="H90" s="468">
        <v>1</v>
      </c>
      <c r="I90" s="468">
        <v>1</v>
      </c>
      <c r="J90" s="468">
        <v>1</v>
      </c>
      <c r="K90" s="468">
        <v>1</v>
      </c>
      <c r="L90" s="468">
        <v>1</v>
      </c>
      <c r="M90" s="468">
        <v>1</v>
      </c>
      <c r="N90" s="468">
        <v>1</v>
      </c>
      <c r="O90" s="468">
        <v>1</v>
      </c>
      <c r="P90" s="468">
        <v>1</v>
      </c>
      <c r="Q90" s="423">
        <f t="shared" si="1"/>
        <v>12</v>
      </c>
      <c r="R90" s="424"/>
      <c r="S90" s="424"/>
      <c r="T90" s="440" t="s">
        <v>323</v>
      </c>
      <c r="U90" s="469"/>
      <c r="V90" s="429" t="s">
        <v>304</v>
      </c>
      <c r="W90" s="426"/>
      <c r="X90" s="415"/>
      <c r="Y90" s="415"/>
      <c r="Z90" s="415"/>
      <c r="AA90" s="415"/>
      <c r="AB90" s="415"/>
      <c r="AC90" s="427"/>
      <c r="AD90" s="427"/>
      <c r="AE90" s="427"/>
      <c r="AF90" s="428"/>
      <c r="AG90" s="428"/>
      <c r="AH90" s="428"/>
      <c r="AI90" s="428"/>
      <c r="AJ90" s="428"/>
      <c r="AK90" s="428"/>
      <c r="AL90" s="428"/>
      <c r="AM90" s="428"/>
      <c r="AN90" s="428"/>
      <c r="AO90" s="428"/>
      <c r="AP90" s="428"/>
      <c r="AQ90" s="428"/>
      <c r="AR90" s="428"/>
      <c r="AS90" s="428"/>
      <c r="AT90" s="428"/>
      <c r="AU90" s="428"/>
      <c r="AV90" s="428"/>
      <c r="AW90" s="428"/>
      <c r="AX90" s="428"/>
      <c r="AY90" s="428"/>
      <c r="AZ90" s="428"/>
      <c r="BA90" s="428"/>
      <c r="BB90" s="428"/>
      <c r="BC90" s="428"/>
      <c r="BD90" s="428"/>
      <c r="BE90" s="428"/>
      <c r="BF90" s="428"/>
      <c r="BG90" s="428"/>
      <c r="BH90" s="428"/>
      <c r="BI90" s="428"/>
      <c r="BJ90" s="428"/>
      <c r="BK90" s="428"/>
      <c r="BL90" s="428"/>
      <c r="BM90" s="428"/>
      <c r="BN90" s="428"/>
    </row>
    <row r="91" spans="1:66" s="413" customFormat="1" ht="73.5" customHeight="1" x14ac:dyDescent="0.2">
      <c r="A91" s="462" t="s">
        <v>291</v>
      </c>
      <c r="B91" s="463" t="s">
        <v>300</v>
      </c>
      <c r="C91" s="464" t="s">
        <v>324</v>
      </c>
      <c r="D91" s="446" t="s">
        <v>325</v>
      </c>
      <c r="E91" s="447"/>
      <c r="F91" s="447"/>
      <c r="G91" s="447"/>
      <c r="H91" s="447">
        <v>1</v>
      </c>
      <c r="I91" s="447"/>
      <c r="J91" s="447"/>
      <c r="K91" s="447"/>
      <c r="L91" s="447"/>
      <c r="M91" s="445"/>
      <c r="N91" s="445"/>
      <c r="O91" s="445">
        <v>1</v>
      </c>
      <c r="P91" s="445"/>
      <c r="Q91" s="423">
        <f t="shared" si="1"/>
        <v>2</v>
      </c>
      <c r="R91" s="424" t="s">
        <v>143</v>
      </c>
      <c r="S91" s="424" t="s">
        <v>120</v>
      </c>
      <c r="T91" s="424"/>
      <c r="U91" s="462"/>
      <c r="V91" s="425" t="s">
        <v>304</v>
      </c>
      <c r="W91" s="426"/>
      <c r="X91" s="415"/>
      <c r="Y91" s="415"/>
      <c r="Z91" s="415"/>
      <c r="AA91" s="415"/>
      <c r="AB91" s="415"/>
      <c r="AC91" s="427"/>
      <c r="AD91" s="427"/>
      <c r="AE91" s="427"/>
      <c r="AF91" s="428"/>
      <c r="AG91" s="428"/>
      <c r="AH91" s="428"/>
      <c r="AI91" s="428"/>
      <c r="AJ91" s="428"/>
      <c r="AK91" s="428"/>
      <c r="AL91" s="428"/>
      <c r="AM91" s="428"/>
      <c r="AN91" s="428"/>
      <c r="AO91" s="428"/>
      <c r="AP91" s="428"/>
      <c r="AQ91" s="428"/>
      <c r="AR91" s="428"/>
      <c r="AS91" s="428"/>
      <c r="AT91" s="428"/>
      <c r="AU91" s="428"/>
      <c r="AV91" s="428"/>
      <c r="AW91" s="428"/>
      <c r="AX91" s="428"/>
      <c r="AY91" s="428"/>
      <c r="AZ91" s="428"/>
      <c r="BA91" s="428"/>
      <c r="BB91" s="428"/>
      <c r="BC91" s="428"/>
      <c r="BD91" s="428"/>
      <c r="BE91" s="428"/>
      <c r="BF91" s="428"/>
      <c r="BG91" s="428"/>
      <c r="BH91" s="428"/>
      <c r="BI91" s="428"/>
      <c r="BJ91" s="428"/>
      <c r="BK91" s="428"/>
      <c r="BL91" s="428"/>
      <c r="BM91" s="428"/>
      <c r="BN91" s="428"/>
    </row>
    <row r="92" spans="1:66" s="413" customFormat="1" ht="102.75" customHeight="1" x14ac:dyDescent="0.2">
      <c r="A92" s="462" t="s">
        <v>291</v>
      </c>
      <c r="B92" s="463" t="s">
        <v>300</v>
      </c>
      <c r="C92" s="464" t="s">
        <v>326</v>
      </c>
      <c r="D92" s="446" t="s">
        <v>327</v>
      </c>
      <c r="E92" s="447">
        <v>1</v>
      </c>
      <c r="F92" s="447">
        <v>1</v>
      </c>
      <c r="G92" s="447">
        <v>1</v>
      </c>
      <c r="H92" s="447"/>
      <c r="I92" s="447">
        <v>1</v>
      </c>
      <c r="J92" s="447">
        <v>1</v>
      </c>
      <c r="K92" s="447">
        <v>1</v>
      </c>
      <c r="L92" s="447"/>
      <c r="M92" s="445">
        <v>1</v>
      </c>
      <c r="N92" s="445">
        <v>1</v>
      </c>
      <c r="O92" s="445">
        <v>1</v>
      </c>
      <c r="P92" s="445"/>
      <c r="Q92" s="423">
        <f t="shared" ref="Q92:Q100" si="2">SUM(E92:P92)</f>
        <v>9</v>
      </c>
      <c r="R92" s="424" t="s">
        <v>328</v>
      </c>
      <c r="S92" s="424"/>
      <c r="T92" s="424"/>
      <c r="U92" s="462" t="s">
        <v>329</v>
      </c>
      <c r="V92" s="425" t="s">
        <v>330</v>
      </c>
      <c r="W92" s="426"/>
      <c r="X92" s="415"/>
      <c r="Y92" s="415"/>
      <c r="Z92" s="415"/>
      <c r="AA92" s="415"/>
      <c r="AB92" s="415"/>
      <c r="AC92" s="427"/>
      <c r="AD92" s="427"/>
      <c r="AE92" s="427"/>
      <c r="AF92" s="428"/>
      <c r="AG92" s="428"/>
      <c r="AH92" s="428"/>
      <c r="AI92" s="428"/>
      <c r="AJ92" s="428"/>
      <c r="AK92" s="428"/>
      <c r="AL92" s="428"/>
      <c r="AM92" s="428"/>
      <c r="AN92" s="428"/>
      <c r="AO92" s="428"/>
      <c r="AP92" s="428"/>
      <c r="AQ92" s="428"/>
      <c r="AR92" s="428"/>
      <c r="AS92" s="428"/>
      <c r="AT92" s="428"/>
      <c r="AU92" s="428"/>
      <c r="AV92" s="428"/>
      <c r="AW92" s="428"/>
      <c r="AX92" s="428"/>
      <c r="AY92" s="428"/>
      <c r="AZ92" s="428"/>
      <c r="BA92" s="428"/>
      <c r="BB92" s="428"/>
      <c r="BC92" s="428"/>
      <c r="BD92" s="428"/>
      <c r="BE92" s="428"/>
      <c r="BF92" s="428"/>
      <c r="BG92" s="428"/>
      <c r="BH92" s="428"/>
      <c r="BI92" s="428"/>
      <c r="BJ92" s="428"/>
      <c r="BK92" s="428"/>
      <c r="BL92" s="428"/>
      <c r="BM92" s="428"/>
      <c r="BN92" s="428"/>
    </row>
    <row r="93" spans="1:66" s="413" customFormat="1" ht="165" x14ac:dyDescent="0.2">
      <c r="A93" s="462" t="s">
        <v>291</v>
      </c>
      <c r="B93" s="463" t="s">
        <v>300</v>
      </c>
      <c r="C93" s="464" t="s">
        <v>331</v>
      </c>
      <c r="D93" s="446" t="s">
        <v>332</v>
      </c>
      <c r="E93" s="447"/>
      <c r="F93" s="447"/>
      <c r="G93" s="447"/>
      <c r="H93" s="447">
        <v>1</v>
      </c>
      <c r="I93" s="447"/>
      <c r="J93" s="447"/>
      <c r="K93" s="447"/>
      <c r="L93" s="447">
        <v>1</v>
      </c>
      <c r="M93" s="445"/>
      <c r="N93" s="445"/>
      <c r="O93" s="445"/>
      <c r="P93" s="445">
        <v>1</v>
      </c>
      <c r="Q93" s="423">
        <f t="shared" si="2"/>
        <v>3</v>
      </c>
      <c r="R93" s="424" t="s">
        <v>333</v>
      </c>
      <c r="S93" s="424"/>
      <c r="T93" s="424"/>
      <c r="U93" s="458" t="s">
        <v>334</v>
      </c>
      <c r="V93" s="425" t="s">
        <v>330</v>
      </c>
      <c r="W93" s="426"/>
      <c r="X93" s="415"/>
      <c r="Y93" s="415"/>
      <c r="Z93" s="415"/>
      <c r="AA93" s="415"/>
      <c r="AB93" s="415"/>
      <c r="AC93" s="427"/>
      <c r="AD93" s="427"/>
      <c r="AE93" s="427"/>
      <c r="AF93" s="428"/>
      <c r="AG93" s="428"/>
      <c r="AH93" s="428"/>
      <c r="AI93" s="428"/>
      <c r="AJ93" s="428"/>
      <c r="AK93" s="428"/>
      <c r="AL93" s="428"/>
      <c r="AM93" s="428"/>
      <c r="AN93" s="428"/>
      <c r="AO93" s="428"/>
      <c r="AP93" s="428"/>
      <c r="AQ93" s="428"/>
      <c r="AR93" s="428"/>
      <c r="AS93" s="428"/>
      <c r="AT93" s="428"/>
      <c r="AU93" s="428"/>
      <c r="AV93" s="428"/>
      <c r="AW93" s="428"/>
      <c r="AX93" s="428"/>
      <c r="AY93" s="428"/>
      <c r="AZ93" s="428"/>
      <c r="BA93" s="428"/>
      <c r="BB93" s="428"/>
      <c r="BC93" s="428"/>
      <c r="BD93" s="428"/>
      <c r="BE93" s="428"/>
      <c r="BF93" s="428"/>
      <c r="BG93" s="428"/>
      <c r="BH93" s="428"/>
      <c r="BI93" s="428"/>
      <c r="BJ93" s="428"/>
      <c r="BK93" s="428"/>
      <c r="BL93" s="428"/>
      <c r="BM93" s="428"/>
      <c r="BN93" s="428"/>
    </row>
    <row r="94" spans="1:66" s="413" customFormat="1" ht="150" x14ac:dyDescent="0.2">
      <c r="A94" s="462" t="s">
        <v>291</v>
      </c>
      <c r="B94" s="463" t="s">
        <v>300</v>
      </c>
      <c r="C94" s="464" t="s">
        <v>335</v>
      </c>
      <c r="D94" s="446" t="s">
        <v>336</v>
      </c>
      <c r="E94" s="447"/>
      <c r="F94" s="447"/>
      <c r="G94" s="447"/>
      <c r="H94" s="447"/>
      <c r="I94" s="447"/>
      <c r="J94" s="447">
        <v>1</v>
      </c>
      <c r="K94" s="447"/>
      <c r="L94" s="447"/>
      <c r="M94" s="445"/>
      <c r="N94" s="445"/>
      <c r="O94" s="445">
        <v>1</v>
      </c>
      <c r="P94" s="445"/>
      <c r="Q94" s="423">
        <f t="shared" si="2"/>
        <v>2</v>
      </c>
      <c r="R94" s="424" t="s">
        <v>112</v>
      </c>
      <c r="S94" s="424"/>
      <c r="T94" s="424"/>
      <c r="U94" s="458" t="s">
        <v>337</v>
      </c>
      <c r="V94" s="425" t="s">
        <v>330</v>
      </c>
      <c r="W94" s="426"/>
      <c r="X94" s="415"/>
      <c r="Y94" s="415"/>
      <c r="Z94" s="415"/>
      <c r="AA94" s="415"/>
      <c r="AB94" s="415"/>
      <c r="AC94" s="427"/>
      <c r="AD94" s="427"/>
      <c r="AE94" s="427"/>
      <c r="AF94" s="428"/>
      <c r="AG94" s="428"/>
      <c r="AH94" s="428"/>
      <c r="AI94" s="428"/>
      <c r="AJ94" s="428"/>
      <c r="AK94" s="428"/>
      <c r="AL94" s="428"/>
      <c r="AM94" s="428"/>
      <c r="AN94" s="428"/>
      <c r="AO94" s="428"/>
      <c r="AP94" s="428"/>
      <c r="AQ94" s="428"/>
      <c r="AR94" s="428"/>
      <c r="AS94" s="428"/>
      <c r="AT94" s="428"/>
      <c r="AU94" s="428"/>
      <c r="AV94" s="428"/>
      <c r="AW94" s="428"/>
      <c r="AX94" s="428"/>
      <c r="AY94" s="428"/>
      <c r="AZ94" s="428"/>
      <c r="BA94" s="428"/>
      <c r="BB94" s="428"/>
      <c r="BC94" s="428"/>
      <c r="BD94" s="428"/>
      <c r="BE94" s="428"/>
      <c r="BF94" s="428"/>
      <c r="BG94" s="428"/>
      <c r="BH94" s="428"/>
      <c r="BI94" s="428"/>
      <c r="BJ94" s="428"/>
      <c r="BK94" s="428"/>
      <c r="BL94" s="428"/>
      <c r="BM94" s="428"/>
      <c r="BN94" s="428"/>
    </row>
    <row r="95" spans="1:66" s="413" customFormat="1" ht="150" x14ac:dyDescent="0.2">
      <c r="A95" s="462" t="s">
        <v>291</v>
      </c>
      <c r="B95" s="463" t="s">
        <v>300</v>
      </c>
      <c r="C95" s="464" t="s">
        <v>338</v>
      </c>
      <c r="D95" s="463" t="s">
        <v>339</v>
      </c>
      <c r="E95" s="465"/>
      <c r="F95" s="465"/>
      <c r="G95" s="465"/>
      <c r="H95" s="465">
        <v>1</v>
      </c>
      <c r="I95" s="465"/>
      <c r="J95" s="465"/>
      <c r="K95" s="465"/>
      <c r="L95" s="465"/>
      <c r="M95" s="465"/>
      <c r="N95" s="465"/>
      <c r="O95" s="465"/>
      <c r="P95" s="465"/>
      <c r="Q95" s="423">
        <f t="shared" si="2"/>
        <v>1</v>
      </c>
      <c r="R95" s="424" t="s">
        <v>112</v>
      </c>
      <c r="S95" s="424"/>
      <c r="T95" s="424"/>
      <c r="U95" s="458" t="s">
        <v>340</v>
      </c>
      <c r="V95" s="425" t="s">
        <v>330</v>
      </c>
      <c r="W95" s="426"/>
      <c r="X95" s="415"/>
      <c r="Y95" s="415"/>
      <c r="Z95" s="415"/>
      <c r="AA95" s="415"/>
      <c r="AB95" s="415"/>
      <c r="AC95" s="427"/>
      <c r="AD95" s="427"/>
      <c r="AE95" s="427"/>
      <c r="AF95" s="428"/>
      <c r="AG95" s="428"/>
      <c r="AH95" s="428"/>
      <c r="AI95" s="428"/>
      <c r="AJ95" s="428"/>
      <c r="AK95" s="428"/>
      <c r="AL95" s="428"/>
      <c r="AM95" s="428"/>
      <c r="AN95" s="428"/>
      <c r="AO95" s="428"/>
      <c r="AP95" s="428"/>
      <c r="AQ95" s="428"/>
      <c r="AR95" s="428"/>
      <c r="AS95" s="428"/>
      <c r="AT95" s="428"/>
      <c r="AU95" s="428"/>
      <c r="AV95" s="428"/>
      <c r="AW95" s="428"/>
      <c r="AX95" s="428"/>
      <c r="AY95" s="428"/>
      <c r="AZ95" s="428"/>
      <c r="BA95" s="428"/>
      <c r="BB95" s="428"/>
      <c r="BC95" s="428"/>
      <c r="BD95" s="428"/>
      <c r="BE95" s="428"/>
      <c r="BF95" s="428"/>
      <c r="BG95" s="428"/>
      <c r="BH95" s="428"/>
      <c r="BI95" s="428"/>
      <c r="BJ95" s="428"/>
      <c r="BK95" s="428"/>
      <c r="BL95" s="428"/>
      <c r="BM95" s="428"/>
      <c r="BN95" s="428"/>
    </row>
    <row r="96" spans="1:66" s="413" customFormat="1" ht="150" x14ac:dyDescent="0.2">
      <c r="A96" s="462" t="s">
        <v>291</v>
      </c>
      <c r="B96" s="463" t="s">
        <v>300</v>
      </c>
      <c r="C96" s="464" t="s">
        <v>341</v>
      </c>
      <c r="D96" s="466" t="s">
        <v>342</v>
      </c>
      <c r="E96" s="468">
        <v>1</v>
      </c>
      <c r="F96" s="468"/>
      <c r="G96" s="468"/>
      <c r="H96" s="468"/>
      <c r="I96" s="468"/>
      <c r="J96" s="468"/>
      <c r="K96" s="468">
        <v>1</v>
      </c>
      <c r="L96" s="468"/>
      <c r="M96" s="468"/>
      <c r="N96" s="468"/>
      <c r="O96" s="468"/>
      <c r="P96" s="468"/>
      <c r="Q96" s="423">
        <f t="shared" si="2"/>
        <v>2</v>
      </c>
      <c r="R96" s="424" t="s">
        <v>343</v>
      </c>
      <c r="S96" s="424"/>
      <c r="T96" s="424"/>
      <c r="U96" s="458" t="s">
        <v>344</v>
      </c>
      <c r="V96" s="425" t="s">
        <v>330</v>
      </c>
      <c r="W96" s="426"/>
      <c r="X96" s="415"/>
      <c r="Y96" s="415"/>
      <c r="Z96" s="415"/>
      <c r="AA96" s="415"/>
      <c r="AB96" s="415"/>
      <c r="AC96" s="427"/>
      <c r="AD96" s="427"/>
      <c r="AE96" s="427"/>
      <c r="AF96" s="428"/>
      <c r="AG96" s="428"/>
      <c r="AH96" s="428"/>
      <c r="AI96" s="428"/>
      <c r="AJ96" s="428"/>
      <c r="AK96" s="428"/>
      <c r="AL96" s="428"/>
      <c r="AM96" s="428"/>
      <c r="AN96" s="428"/>
      <c r="AO96" s="428"/>
      <c r="AP96" s="428"/>
      <c r="AQ96" s="428"/>
      <c r="AR96" s="428"/>
      <c r="AS96" s="428"/>
      <c r="AT96" s="428"/>
      <c r="AU96" s="428"/>
      <c r="AV96" s="428"/>
      <c r="AW96" s="428"/>
      <c r="AX96" s="428"/>
      <c r="AY96" s="428"/>
      <c r="AZ96" s="428"/>
      <c r="BA96" s="428"/>
      <c r="BB96" s="428"/>
      <c r="BC96" s="428"/>
      <c r="BD96" s="428"/>
      <c r="BE96" s="428"/>
      <c r="BF96" s="428"/>
      <c r="BG96" s="428"/>
      <c r="BH96" s="428"/>
      <c r="BI96" s="428"/>
      <c r="BJ96" s="428"/>
      <c r="BK96" s="428"/>
      <c r="BL96" s="428"/>
      <c r="BM96" s="428"/>
      <c r="BN96" s="428"/>
    </row>
    <row r="97" spans="1:66" s="413" customFormat="1" ht="165" x14ac:dyDescent="0.2">
      <c r="A97" s="462" t="s">
        <v>291</v>
      </c>
      <c r="B97" s="463" t="s">
        <v>300</v>
      </c>
      <c r="C97" s="464" t="s">
        <v>345</v>
      </c>
      <c r="D97" s="463" t="s">
        <v>346</v>
      </c>
      <c r="E97" s="465">
        <v>1</v>
      </c>
      <c r="F97" s="465">
        <v>1</v>
      </c>
      <c r="G97" s="465">
        <v>1</v>
      </c>
      <c r="H97" s="465">
        <v>1</v>
      </c>
      <c r="I97" s="465">
        <v>1</v>
      </c>
      <c r="J97" s="465">
        <v>1</v>
      </c>
      <c r="K97" s="465">
        <v>1</v>
      </c>
      <c r="L97" s="465">
        <v>1</v>
      </c>
      <c r="M97" s="465">
        <v>1</v>
      </c>
      <c r="N97" s="465">
        <v>1</v>
      </c>
      <c r="O97" s="465">
        <v>1</v>
      </c>
      <c r="P97" s="465">
        <v>1</v>
      </c>
      <c r="Q97" s="423">
        <f t="shared" si="2"/>
        <v>12</v>
      </c>
      <c r="R97" s="424" t="s">
        <v>347</v>
      </c>
      <c r="S97" s="424"/>
      <c r="T97" s="424"/>
      <c r="U97" s="458" t="s">
        <v>348</v>
      </c>
      <c r="V97" s="425" t="s">
        <v>330</v>
      </c>
      <c r="W97" s="426"/>
      <c r="X97" s="415"/>
      <c r="Y97" s="415"/>
      <c r="Z97" s="415"/>
      <c r="AA97" s="415"/>
      <c r="AB97" s="415"/>
      <c r="AC97" s="427"/>
      <c r="AD97" s="427"/>
      <c r="AE97" s="427"/>
      <c r="AF97" s="428"/>
      <c r="AG97" s="428"/>
      <c r="AH97" s="428"/>
      <c r="AI97" s="428"/>
      <c r="AJ97" s="428"/>
      <c r="AK97" s="428"/>
      <c r="AL97" s="428"/>
      <c r="AM97" s="428"/>
      <c r="AN97" s="428"/>
      <c r="AO97" s="428"/>
      <c r="AP97" s="428"/>
      <c r="AQ97" s="428"/>
      <c r="AR97" s="428"/>
      <c r="AS97" s="428"/>
      <c r="AT97" s="428"/>
      <c r="AU97" s="428"/>
      <c r="AV97" s="428"/>
      <c r="AW97" s="428"/>
      <c r="AX97" s="428"/>
      <c r="AY97" s="428"/>
      <c r="AZ97" s="428"/>
      <c r="BA97" s="428"/>
      <c r="BB97" s="428"/>
      <c r="BC97" s="428"/>
      <c r="BD97" s="428"/>
      <c r="BE97" s="428"/>
      <c r="BF97" s="428"/>
      <c r="BG97" s="428"/>
      <c r="BH97" s="428"/>
      <c r="BI97" s="428"/>
      <c r="BJ97" s="428"/>
      <c r="BK97" s="428"/>
      <c r="BL97" s="428"/>
      <c r="BM97" s="428"/>
      <c r="BN97" s="428"/>
    </row>
    <row r="98" spans="1:66" s="413" customFormat="1" ht="150" x14ac:dyDescent="0.2">
      <c r="A98" s="462" t="s">
        <v>291</v>
      </c>
      <c r="B98" s="463" t="s">
        <v>300</v>
      </c>
      <c r="C98" s="464" t="s">
        <v>349</v>
      </c>
      <c r="D98" s="466" t="s">
        <v>350</v>
      </c>
      <c r="E98" s="468"/>
      <c r="F98" s="468"/>
      <c r="G98" s="468">
        <v>1</v>
      </c>
      <c r="H98" s="468"/>
      <c r="I98" s="468"/>
      <c r="J98" s="468"/>
      <c r="K98" s="468">
        <v>1</v>
      </c>
      <c r="L98" s="468"/>
      <c r="M98" s="468"/>
      <c r="N98" s="468"/>
      <c r="O98" s="468">
        <v>1</v>
      </c>
      <c r="P98" s="468"/>
      <c r="Q98" s="423">
        <f t="shared" si="2"/>
        <v>3</v>
      </c>
      <c r="R98" s="424" t="s">
        <v>351</v>
      </c>
      <c r="S98" s="424"/>
      <c r="T98" s="424"/>
      <c r="U98" s="458" t="s">
        <v>352</v>
      </c>
      <c r="V98" s="425" t="s">
        <v>330</v>
      </c>
      <c r="W98" s="426"/>
      <c r="X98" s="415"/>
      <c r="Y98" s="415"/>
      <c r="Z98" s="415"/>
      <c r="AA98" s="415"/>
      <c r="AB98" s="415"/>
      <c r="AC98" s="427"/>
      <c r="AD98" s="427"/>
      <c r="AE98" s="427"/>
      <c r="AF98" s="428"/>
      <c r="AG98" s="428"/>
      <c r="AH98" s="428"/>
      <c r="AI98" s="428"/>
      <c r="AJ98" s="428"/>
      <c r="AK98" s="428"/>
      <c r="AL98" s="428"/>
      <c r="AM98" s="428"/>
      <c r="AN98" s="428"/>
      <c r="AO98" s="428"/>
      <c r="AP98" s="428"/>
      <c r="AQ98" s="428"/>
      <c r="AR98" s="428"/>
      <c r="AS98" s="428"/>
      <c r="AT98" s="428"/>
      <c r="AU98" s="428"/>
      <c r="AV98" s="428"/>
      <c r="AW98" s="428"/>
      <c r="AX98" s="428"/>
      <c r="AY98" s="428"/>
      <c r="AZ98" s="428"/>
      <c r="BA98" s="428"/>
      <c r="BB98" s="428"/>
      <c r="BC98" s="428"/>
      <c r="BD98" s="428"/>
      <c r="BE98" s="428"/>
      <c r="BF98" s="428"/>
      <c r="BG98" s="428"/>
      <c r="BH98" s="428"/>
      <c r="BI98" s="428"/>
      <c r="BJ98" s="428"/>
      <c r="BK98" s="428"/>
      <c r="BL98" s="428"/>
      <c r="BM98" s="428"/>
      <c r="BN98" s="428"/>
    </row>
    <row r="99" spans="1:66" s="413" customFormat="1" ht="150" x14ac:dyDescent="0.2">
      <c r="A99" s="462" t="s">
        <v>291</v>
      </c>
      <c r="B99" s="463" t="s">
        <v>300</v>
      </c>
      <c r="C99" s="464" t="s">
        <v>353</v>
      </c>
      <c r="D99" s="463" t="s">
        <v>354</v>
      </c>
      <c r="E99" s="465"/>
      <c r="F99" s="465">
        <v>1</v>
      </c>
      <c r="G99" s="465"/>
      <c r="H99" s="465"/>
      <c r="I99" s="465"/>
      <c r="J99" s="465"/>
      <c r="K99" s="465"/>
      <c r="L99" s="465"/>
      <c r="M99" s="465"/>
      <c r="N99" s="465"/>
      <c r="O99" s="465"/>
      <c r="P99" s="465"/>
      <c r="Q99" s="423">
        <f t="shared" si="2"/>
        <v>1</v>
      </c>
      <c r="R99" s="424" t="s">
        <v>351</v>
      </c>
      <c r="S99" s="424"/>
      <c r="T99" s="424"/>
      <c r="U99" s="458" t="s">
        <v>355</v>
      </c>
      <c r="V99" s="425" t="s">
        <v>330</v>
      </c>
      <c r="W99" s="426"/>
      <c r="X99" s="415"/>
      <c r="Y99" s="415"/>
      <c r="Z99" s="415"/>
      <c r="AA99" s="415"/>
      <c r="AB99" s="415"/>
      <c r="AC99" s="427"/>
      <c r="AD99" s="427"/>
      <c r="AE99" s="427"/>
      <c r="AF99" s="428"/>
      <c r="AG99" s="428"/>
      <c r="AH99" s="428"/>
      <c r="AI99" s="428"/>
      <c r="AJ99" s="428"/>
      <c r="AK99" s="428"/>
      <c r="AL99" s="428"/>
      <c r="AM99" s="428"/>
      <c r="AN99" s="428"/>
      <c r="AO99" s="428"/>
      <c r="AP99" s="428"/>
      <c r="AQ99" s="428"/>
      <c r="AR99" s="428"/>
      <c r="AS99" s="428"/>
      <c r="AT99" s="428"/>
      <c r="AU99" s="428"/>
      <c r="AV99" s="428"/>
      <c r="AW99" s="428"/>
      <c r="AX99" s="428"/>
      <c r="AY99" s="428"/>
      <c r="AZ99" s="428"/>
      <c r="BA99" s="428"/>
      <c r="BB99" s="428"/>
      <c r="BC99" s="428"/>
      <c r="BD99" s="428"/>
      <c r="BE99" s="428"/>
      <c r="BF99" s="428"/>
      <c r="BG99" s="428"/>
      <c r="BH99" s="428"/>
      <c r="BI99" s="428"/>
      <c r="BJ99" s="428"/>
      <c r="BK99" s="428"/>
      <c r="BL99" s="428"/>
      <c r="BM99" s="428"/>
      <c r="BN99" s="428"/>
    </row>
    <row r="100" spans="1:66" s="413" customFormat="1" ht="165" x14ac:dyDescent="0.2">
      <c r="A100" s="462" t="s">
        <v>291</v>
      </c>
      <c r="B100" s="463" t="s">
        <v>300</v>
      </c>
      <c r="C100" s="464" t="s">
        <v>356</v>
      </c>
      <c r="D100" s="466" t="s">
        <v>357</v>
      </c>
      <c r="E100" s="468"/>
      <c r="F100" s="468"/>
      <c r="G100" s="468"/>
      <c r="H100" s="468">
        <v>1</v>
      </c>
      <c r="I100" s="468"/>
      <c r="J100" s="468"/>
      <c r="K100" s="468"/>
      <c r="L100" s="468"/>
      <c r="M100" s="468">
        <v>1</v>
      </c>
      <c r="N100" s="468"/>
      <c r="O100" s="468"/>
      <c r="P100" s="468"/>
      <c r="Q100" s="423">
        <f t="shared" si="2"/>
        <v>2</v>
      </c>
      <c r="R100" s="424" t="s">
        <v>351</v>
      </c>
      <c r="S100" s="424"/>
      <c r="T100" s="424"/>
      <c r="U100" s="458" t="s">
        <v>358</v>
      </c>
      <c r="V100" s="425" t="s">
        <v>330</v>
      </c>
      <c r="W100" s="426"/>
      <c r="X100" s="415"/>
      <c r="Y100" s="415"/>
      <c r="Z100" s="415"/>
      <c r="AA100" s="415"/>
      <c r="AB100" s="415"/>
      <c r="AC100" s="427"/>
      <c r="AD100" s="427"/>
      <c r="AE100" s="427"/>
      <c r="AF100" s="428"/>
      <c r="AG100" s="428"/>
      <c r="AH100" s="428"/>
      <c r="AI100" s="428"/>
      <c r="AJ100" s="428"/>
      <c r="AK100" s="428"/>
      <c r="AL100" s="428"/>
      <c r="AM100" s="428"/>
      <c r="AN100" s="428"/>
      <c r="AO100" s="428"/>
      <c r="AP100" s="428"/>
      <c r="AQ100" s="428"/>
      <c r="AR100" s="428"/>
      <c r="AS100" s="428"/>
      <c r="AT100" s="428"/>
      <c r="AU100" s="428"/>
      <c r="AV100" s="428"/>
      <c r="AW100" s="428"/>
      <c r="AX100" s="428"/>
      <c r="AY100" s="428"/>
      <c r="AZ100" s="428"/>
      <c r="BA100" s="428"/>
      <c r="BB100" s="428"/>
      <c r="BC100" s="428"/>
      <c r="BD100" s="428"/>
      <c r="BE100" s="428"/>
      <c r="BF100" s="428"/>
      <c r="BG100" s="428"/>
      <c r="BH100" s="428"/>
      <c r="BI100" s="428"/>
      <c r="BJ100" s="428"/>
      <c r="BK100" s="428"/>
      <c r="BL100" s="428"/>
      <c r="BM100" s="428"/>
      <c r="BN100" s="428"/>
    </row>
    <row r="101" spans="1:66" s="413" customFormat="1" ht="75" x14ac:dyDescent="0.2">
      <c r="A101" s="462" t="s">
        <v>291</v>
      </c>
      <c r="B101" s="463" t="s">
        <v>359</v>
      </c>
      <c r="C101" s="464" t="s">
        <v>360</v>
      </c>
      <c r="D101" s="446" t="s">
        <v>361</v>
      </c>
      <c r="E101" s="447"/>
      <c r="F101" s="447">
        <v>1</v>
      </c>
      <c r="G101" s="447"/>
      <c r="H101" s="447"/>
      <c r="I101" s="447"/>
      <c r="J101" s="447"/>
      <c r="K101" s="447"/>
      <c r="L101" s="447"/>
      <c r="M101" s="445"/>
      <c r="N101" s="445"/>
      <c r="O101" s="445"/>
      <c r="P101" s="445"/>
      <c r="Q101" s="423">
        <f t="shared" si="1"/>
        <v>1</v>
      </c>
      <c r="R101" s="424" t="s">
        <v>362</v>
      </c>
      <c r="S101" s="424"/>
      <c r="T101" s="424"/>
      <c r="U101" s="462" t="s">
        <v>363</v>
      </c>
      <c r="V101" s="425" t="s">
        <v>330</v>
      </c>
      <c r="W101" s="426"/>
      <c r="X101" s="415"/>
      <c r="Y101" s="415"/>
      <c r="Z101" s="415"/>
      <c r="AA101" s="415"/>
      <c r="AB101" s="415"/>
      <c r="AC101" s="427"/>
      <c r="AD101" s="427"/>
      <c r="AE101" s="427"/>
      <c r="AF101" s="428"/>
      <c r="AG101" s="428"/>
      <c r="AH101" s="428"/>
      <c r="AI101" s="428"/>
      <c r="AJ101" s="428"/>
      <c r="AK101" s="428"/>
      <c r="AL101" s="428"/>
      <c r="AM101" s="428"/>
      <c r="AN101" s="428"/>
      <c r="AO101" s="428"/>
      <c r="AP101" s="428"/>
      <c r="AQ101" s="428"/>
      <c r="AR101" s="428"/>
      <c r="AS101" s="428"/>
      <c r="AT101" s="428"/>
      <c r="AU101" s="428"/>
      <c r="AV101" s="428"/>
      <c r="AW101" s="428"/>
      <c r="AX101" s="428"/>
      <c r="AY101" s="428"/>
      <c r="AZ101" s="428"/>
      <c r="BA101" s="428"/>
      <c r="BB101" s="428"/>
      <c r="BC101" s="428"/>
      <c r="BD101" s="428"/>
      <c r="BE101" s="428"/>
      <c r="BF101" s="428"/>
      <c r="BG101" s="428"/>
      <c r="BH101" s="428"/>
      <c r="BI101" s="428"/>
      <c r="BJ101" s="428"/>
      <c r="BK101" s="428"/>
      <c r="BL101" s="428"/>
      <c r="BM101" s="428"/>
      <c r="BN101" s="428"/>
    </row>
    <row r="102" spans="1:66" s="413" customFormat="1" ht="165" x14ac:dyDescent="0.2">
      <c r="A102" s="462" t="s">
        <v>291</v>
      </c>
      <c r="B102" s="463" t="s">
        <v>359</v>
      </c>
      <c r="C102" s="464" t="s">
        <v>364</v>
      </c>
      <c r="D102" s="446" t="s">
        <v>365</v>
      </c>
      <c r="E102" s="447"/>
      <c r="F102" s="447"/>
      <c r="G102" s="447">
        <v>1</v>
      </c>
      <c r="H102" s="447"/>
      <c r="I102" s="447"/>
      <c r="J102" s="447"/>
      <c r="K102" s="447"/>
      <c r="L102" s="447"/>
      <c r="M102" s="445"/>
      <c r="N102" s="445"/>
      <c r="O102" s="445"/>
      <c r="P102" s="445"/>
      <c r="Q102" s="423">
        <f t="shared" ref="Q102:Q108" si="3">SUM(E102:P102)</f>
        <v>1</v>
      </c>
      <c r="R102" s="424" t="s">
        <v>131</v>
      </c>
      <c r="S102" s="424"/>
      <c r="T102" s="424"/>
      <c r="U102" s="462" t="s">
        <v>366</v>
      </c>
      <c r="V102" s="425" t="s">
        <v>330</v>
      </c>
      <c r="W102" s="426"/>
      <c r="X102" s="415"/>
      <c r="Y102" s="415"/>
      <c r="Z102" s="415"/>
      <c r="AA102" s="415"/>
      <c r="AB102" s="415"/>
      <c r="AC102" s="427"/>
      <c r="AD102" s="427"/>
      <c r="AE102" s="427"/>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8"/>
      <c r="BB102" s="428"/>
      <c r="BC102" s="428"/>
      <c r="BD102" s="428"/>
      <c r="BE102" s="428"/>
      <c r="BF102" s="428"/>
      <c r="BG102" s="428"/>
      <c r="BH102" s="428"/>
      <c r="BI102" s="428"/>
      <c r="BJ102" s="428"/>
      <c r="BK102" s="428"/>
      <c r="BL102" s="428"/>
      <c r="BM102" s="428"/>
      <c r="BN102" s="428"/>
    </row>
    <row r="103" spans="1:66" s="413" customFormat="1" ht="150" x14ac:dyDescent="0.2">
      <c r="A103" s="462" t="s">
        <v>291</v>
      </c>
      <c r="B103" s="463" t="s">
        <v>359</v>
      </c>
      <c r="C103" s="464" t="s">
        <v>367</v>
      </c>
      <c r="D103" s="446" t="s">
        <v>368</v>
      </c>
      <c r="E103" s="447"/>
      <c r="F103" s="447"/>
      <c r="G103" s="447"/>
      <c r="H103" s="447"/>
      <c r="I103" s="447"/>
      <c r="J103" s="447"/>
      <c r="K103" s="447"/>
      <c r="L103" s="447">
        <v>1</v>
      </c>
      <c r="M103" s="445"/>
      <c r="N103" s="445"/>
      <c r="O103" s="445"/>
      <c r="P103" s="445"/>
      <c r="Q103" s="423">
        <f t="shared" si="3"/>
        <v>1</v>
      </c>
      <c r="R103" s="424" t="s">
        <v>112</v>
      </c>
      <c r="S103" s="424"/>
      <c r="T103" s="424"/>
      <c r="U103" s="462" t="s">
        <v>369</v>
      </c>
      <c r="V103" s="425" t="s">
        <v>330</v>
      </c>
      <c r="W103" s="426"/>
      <c r="X103" s="415"/>
      <c r="Y103" s="415"/>
      <c r="Z103" s="415"/>
      <c r="AA103" s="415"/>
      <c r="AB103" s="415"/>
      <c r="AC103" s="427"/>
      <c r="AD103" s="427"/>
      <c r="AE103" s="427"/>
      <c r="AF103" s="428"/>
      <c r="AG103" s="428"/>
      <c r="AH103" s="428"/>
      <c r="AI103" s="428"/>
      <c r="AJ103" s="428"/>
      <c r="AK103" s="428"/>
      <c r="AL103" s="428"/>
      <c r="AM103" s="428"/>
      <c r="AN103" s="428"/>
      <c r="AO103" s="428"/>
      <c r="AP103" s="428"/>
      <c r="AQ103" s="428"/>
      <c r="AR103" s="428"/>
      <c r="AS103" s="428"/>
      <c r="AT103" s="428"/>
      <c r="AU103" s="428"/>
      <c r="AV103" s="428"/>
      <c r="AW103" s="428"/>
      <c r="AX103" s="428"/>
      <c r="AY103" s="428"/>
      <c r="AZ103" s="428"/>
      <c r="BA103" s="428"/>
      <c r="BB103" s="428"/>
      <c r="BC103" s="428"/>
      <c r="BD103" s="428"/>
      <c r="BE103" s="428"/>
      <c r="BF103" s="428"/>
      <c r="BG103" s="428"/>
      <c r="BH103" s="428"/>
      <c r="BI103" s="428"/>
      <c r="BJ103" s="428"/>
      <c r="BK103" s="428"/>
      <c r="BL103" s="428"/>
      <c r="BM103" s="428"/>
      <c r="BN103" s="428"/>
    </row>
    <row r="104" spans="1:66" s="413" customFormat="1" ht="300" x14ac:dyDescent="0.2">
      <c r="A104" s="462" t="s">
        <v>291</v>
      </c>
      <c r="B104" s="463" t="s">
        <v>359</v>
      </c>
      <c r="C104" s="464" t="s">
        <v>370</v>
      </c>
      <c r="D104" s="446" t="s">
        <v>371</v>
      </c>
      <c r="E104" s="447"/>
      <c r="F104" s="447"/>
      <c r="G104" s="447">
        <v>1</v>
      </c>
      <c r="H104" s="447"/>
      <c r="I104" s="447"/>
      <c r="J104" s="447">
        <v>1</v>
      </c>
      <c r="K104" s="447"/>
      <c r="L104" s="447"/>
      <c r="M104" s="445">
        <v>1</v>
      </c>
      <c r="N104" s="445"/>
      <c r="O104" s="445"/>
      <c r="P104" s="445">
        <v>1</v>
      </c>
      <c r="Q104" s="423">
        <f t="shared" si="3"/>
        <v>4</v>
      </c>
      <c r="R104" s="424" t="s">
        <v>372</v>
      </c>
      <c r="S104" s="424"/>
      <c r="T104" s="424"/>
      <c r="U104" s="462" t="s">
        <v>373</v>
      </c>
      <c r="V104" s="425" t="s">
        <v>330</v>
      </c>
      <c r="W104" s="426"/>
      <c r="X104" s="415"/>
      <c r="Y104" s="415"/>
      <c r="Z104" s="415"/>
      <c r="AA104" s="415"/>
      <c r="AB104" s="415"/>
      <c r="AC104" s="427"/>
      <c r="AD104" s="427"/>
      <c r="AE104" s="427"/>
      <c r="AF104" s="428"/>
      <c r="AG104" s="428"/>
      <c r="AH104" s="428"/>
      <c r="AI104" s="428"/>
      <c r="AJ104" s="428"/>
      <c r="AK104" s="428"/>
      <c r="AL104" s="428"/>
      <c r="AM104" s="428"/>
      <c r="AN104" s="428"/>
      <c r="AO104" s="428"/>
      <c r="AP104" s="428"/>
      <c r="AQ104" s="428"/>
      <c r="AR104" s="428"/>
      <c r="AS104" s="428"/>
      <c r="AT104" s="428"/>
      <c r="AU104" s="428"/>
      <c r="AV104" s="428"/>
      <c r="AW104" s="428"/>
      <c r="AX104" s="428"/>
      <c r="AY104" s="428"/>
      <c r="AZ104" s="428"/>
      <c r="BA104" s="428"/>
      <c r="BB104" s="428"/>
      <c r="BC104" s="428"/>
      <c r="BD104" s="428"/>
      <c r="BE104" s="428"/>
      <c r="BF104" s="428"/>
      <c r="BG104" s="428"/>
      <c r="BH104" s="428"/>
      <c r="BI104" s="428"/>
      <c r="BJ104" s="428"/>
      <c r="BK104" s="428"/>
      <c r="BL104" s="428"/>
      <c r="BM104" s="428"/>
      <c r="BN104" s="428"/>
    </row>
    <row r="105" spans="1:66" s="413" customFormat="1" ht="105" x14ac:dyDescent="0.2">
      <c r="A105" s="462" t="s">
        <v>291</v>
      </c>
      <c r="B105" s="463" t="s">
        <v>359</v>
      </c>
      <c r="C105" s="464" t="s">
        <v>374</v>
      </c>
      <c r="D105" s="446" t="s">
        <v>375</v>
      </c>
      <c r="E105" s="447"/>
      <c r="F105" s="447"/>
      <c r="G105" s="447"/>
      <c r="H105" s="447"/>
      <c r="I105" s="447"/>
      <c r="J105" s="447"/>
      <c r="K105" s="447"/>
      <c r="L105" s="447"/>
      <c r="M105" s="445">
        <v>1</v>
      </c>
      <c r="N105" s="445"/>
      <c r="O105" s="445"/>
      <c r="P105" s="445"/>
      <c r="Q105" s="423">
        <f t="shared" si="3"/>
        <v>1</v>
      </c>
      <c r="R105" s="424" t="s">
        <v>376</v>
      </c>
      <c r="S105" s="424"/>
      <c r="T105" s="424"/>
      <c r="U105" s="462" t="s">
        <v>377</v>
      </c>
      <c r="V105" s="425" t="s">
        <v>330</v>
      </c>
      <c r="W105" s="426"/>
      <c r="X105" s="415"/>
      <c r="Y105" s="415"/>
      <c r="Z105" s="415"/>
      <c r="AA105" s="415"/>
      <c r="AB105" s="415"/>
      <c r="AC105" s="427"/>
      <c r="AD105" s="427"/>
      <c r="AE105" s="427"/>
      <c r="AF105" s="428"/>
      <c r="AG105" s="428"/>
      <c r="AH105" s="428"/>
      <c r="AI105" s="428"/>
      <c r="AJ105" s="428"/>
      <c r="AK105" s="428"/>
      <c r="AL105" s="428"/>
      <c r="AM105" s="428"/>
      <c r="AN105" s="428"/>
      <c r="AO105" s="428"/>
      <c r="AP105" s="428"/>
      <c r="AQ105" s="428"/>
      <c r="AR105" s="428"/>
      <c r="AS105" s="428"/>
      <c r="AT105" s="428"/>
      <c r="AU105" s="428"/>
      <c r="AV105" s="428"/>
      <c r="AW105" s="428"/>
      <c r="AX105" s="428"/>
      <c r="AY105" s="428"/>
      <c r="AZ105" s="428"/>
      <c r="BA105" s="428"/>
      <c r="BB105" s="428"/>
      <c r="BC105" s="428"/>
      <c r="BD105" s="428"/>
      <c r="BE105" s="428"/>
      <c r="BF105" s="428"/>
      <c r="BG105" s="428"/>
      <c r="BH105" s="428"/>
      <c r="BI105" s="428"/>
      <c r="BJ105" s="428"/>
      <c r="BK105" s="428"/>
      <c r="BL105" s="428"/>
      <c r="BM105" s="428"/>
      <c r="BN105" s="428"/>
    </row>
    <row r="106" spans="1:66" s="413" customFormat="1" ht="90" x14ac:dyDescent="0.2">
      <c r="A106" s="462" t="s">
        <v>291</v>
      </c>
      <c r="B106" s="463" t="s">
        <v>359</v>
      </c>
      <c r="C106" s="464" t="s">
        <v>378</v>
      </c>
      <c r="D106" s="446" t="s">
        <v>379</v>
      </c>
      <c r="E106" s="447"/>
      <c r="F106" s="447"/>
      <c r="G106" s="447">
        <v>1</v>
      </c>
      <c r="H106" s="447"/>
      <c r="I106" s="447"/>
      <c r="J106" s="447">
        <v>1</v>
      </c>
      <c r="K106" s="447"/>
      <c r="L106" s="447"/>
      <c r="M106" s="445">
        <v>1</v>
      </c>
      <c r="N106" s="445"/>
      <c r="O106" s="445"/>
      <c r="P106" s="445">
        <v>1</v>
      </c>
      <c r="Q106" s="423">
        <f t="shared" si="3"/>
        <v>4</v>
      </c>
      <c r="R106" s="424" t="s">
        <v>380</v>
      </c>
      <c r="S106" s="424"/>
      <c r="T106" s="424"/>
      <c r="U106" s="462" t="s">
        <v>381</v>
      </c>
      <c r="V106" s="425" t="s">
        <v>330</v>
      </c>
      <c r="W106" s="426"/>
      <c r="X106" s="415"/>
      <c r="Y106" s="415"/>
      <c r="Z106" s="415"/>
      <c r="AA106" s="415"/>
      <c r="AB106" s="415"/>
      <c r="AC106" s="427"/>
      <c r="AD106" s="427"/>
      <c r="AE106" s="427"/>
      <c r="AF106" s="428"/>
      <c r="AG106" s="428"/>
      <c r="AH106" s="428"/>
      <c r="AI106" s="428"/>
      <c r="AJ106" s="428"/>
      <c r="AK106" s="428"/>
      <c r="AL106" s="428"/>
      <c r="AM106" s="428"/>
      <c r="AN106" s="428"/>
      <c r="AO106" s="428"/>
      <c r="AP106" s="428"/>
      <c r="AQ106" s="428"/>
      <c r="AR106" s="428"/>
      <c r="AS106" s="428"/>
      <c r="AT106" s="428"/>
      <c r="AU106" s="428"/>
      <c r="AV106" s="428"/>
      <c r="AW106" s="428"/>
      <c r="AX106" s="428"/>
      <c r="AY106" s="428"/>
      <c r="AZ106" s="428"/>
      <c r="BA106" s="428"/>
      <c r="BB106" s="428"/>
      <c r="BC106" s="428"/>
      <c r="BD106" s="428"/>
      <c r="BE106" s="428"/>
      <c r="BF106" s="428"/>
      <c r="BG106" s="428"/>
      <c r="BH106" s="428"/>
      <c r="BI106" s="428"/>
      <c r="BJ106" s="428"/>
      <c r="BK106" s="428"/>
      <c r="BL106" s="428"/>
      <c r="BM106" s="428"/>
      <c r="BN106" s="428"/>
    </row>
    <row r="107" spans="1:66" s="413" customFormat="1" ht="75" x14ac:dyDescent="0.2">
      <c r="A107" s="462" t="s">
        <v>291</v>
      </c>
      <c r="B107" s="463" t="s">
        <v>359</v>
      </c>
      <c r="C107" s="464" t="s">
        <v>382</v>
      </c>
      <c r="D107" s="446" t="s">
        <v>383</v>
      </c>
      <c r="E107" s="447">
        <v>1</v>
      </c>
      <c r="F107" s="447"/>
      <c r="G107" s="447"/>
      <c r="H107" s="447"/>
      <c r="I107" s="447"/>
      <c r="J107" s="447"/>
      <c r="K107" s="447">
        <v>1</v>
      </c>
      <c r="L107" s="447"/>
      <c r="M107" s="445"/>
      <c r="N107" s="445"/>
      <c r="O107" s="445"/>
      <c r="P107" s="445"/>
      <c r="Q107" s="423">
        <f t="shared" si="3"/>
        <v>2</v>
      </c>
      <c r="R107" s="424" t="s">
        <v>384</v>
      </c>
      <c r="S107" s="424"/>
      <c r="T107" s="424"/>
      <c r="U107" s="462" t="s">
        <v>385</v>
      </c>
      <c r="V107" s="425" t="s">
        <v>330</v>
      </c>
      <c r="W107" s="426"/>
      <c r="X107" s="415"/>
      <c r="Y107" s="415"/>
      <c r="Z107" s="415"/>
      <c r="AA107" s="415"/>
      <c r="AB107" s="415"/>
      <c r="AC107" s="427"/>
      <c r="AD107" s="427"/>
      <c r="AE107" s="427"/>
      <c r="AF107" s="428"/>
      <c r="AG107" s="428"/>
      <c r="AH107" s="428"/>
      <c r="AI107" s="428"/>
      <c r="AJ107" s="428"/>
      <c r="AK107" s="428"/>
      <c r="AL107" s="428"/>
      <c r="AM107" s="428"/>
      <c r="AN107" s="428"/>
      <c r="AO107" s="428"/>
      <c r="AP107" s="428"/>
      <c r="AQ107" s="428"/>
      <c r="AR107" s="428"/>
      <c r="AS107" s="428"/>
      <c r="AT107" s="428"/>
      <c r="AU107" s="428"/>
      <c r="AV107" s="428"/>
      <c r="AW107" s="428"/>
      <c r="AX107" s="428"/>
      <c r="AY107" s="428"/>
      <c r="AZ107" s="428"/>
      <c r="BA107" s="428"/>
      <c r="BB107" s="428"/>
      <c r="BC107" s="428"/>
      <c r="BD107" s="428"/>
      <c r="BE107" s="428"/>
      <c r="BF107" s="428"/>
      <c r="BG107" s="428"/>
      <c r="BH107" s="428"/>
      <c r="BI107" s="428"/>
      <c r="BJ107" s="428"/>
      <c r="BK107" s="428"/>
      <c r="BL107" s="428"/>
      <c r="BM107" s="428"/>
      <c r="BN107" s="428"/>
    </row>
    <row r="108" spans="1:66" s="413" customFormat="1" ht="75" x14ac:dyDescent="0.2">
      <c r="A108" s="462" t="s">
        <v>291</v>
      </c>
      <c r="B108" s="463" t="s">
        <v>359</v>
      </c>
      <c r="C108" s="464" t="s">
        <v>386</v>
      </c>
      <c r="D108" s="446" t="s">
        <v>387</v>
      </c>
      <c r="E108" s="447"/>
      <c r="F108" s="447">
        <v>1</v>
      </c>
      <c r="G108" s="447"/>
      <c r="H108" s="447"/>
      <c r="I108" s="447"/>
      <c r="J108" s="447"/>
      <c r="K108" s="447"/>
      <c r="L108" s="447">
        <v>1</v>
      </c>
      <c r="M108" s="445"/>
      <c r="N108" s="445"/>
      <c r="O108" s="445"/>
      <c r="P108" s="445"/>
      <c r="Q108" s="423">
        <f t="shared" si="3"/>
        <v>2</v>
      </c>
      <c r="R108" s="424" t="s">
        <v>384</v>
      </c>
      <c r="S108" s="424"/>
      <c r="T108" s="424"/>
      <c r="U108" s="462" t="s">
        <v>388</v>
      </c>
      <c r="V108" s="425" t="s">
        <v>330</v>
      </c>
      <c r="W108" s="426"/>
      <c r="X108" s="415"/>
      <c r="Y108" s="415"/>
      <c r="Z108" s="415"/>
      <c r="AA108" s="415"/>
      <c r="AB108" s="415"/>
      <c r="AC108" s="427"/>
      <c r="AD108" s="427"/>
      <c r="AE108" s="427"/>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428"/>
      <c r="BB108" s="428"/>
      <c r="BC108" s="428"/>
      <c r="BD108" s="428"/>
      <c r="BE108" s="428"/>
      <c r="BF108" s="428"/>
      <c r="BG108" s="428"/>
      <c r="BH108" s="428"/>
      <c r="BI108" s="428"/>
      <c r="BJ108" s="428"/>
      <c r="BK108" s="428"/>
      <c r="BL108" s="428"/>
      <c r="BM108" s="428"/>
      <c r="BN108" s="428"/>
    </row>
    <row r="109" spans="1:66" s="413" customFormat="1" ht="120" x14ac:dyDescent="0.2">
      <c r="A109" s="462" t="s">
        <v>389</v>
      </c>
      <c r="B109" s="466" t="s">
        <v>390</v>
      </c>
      <c r="C109" s="467" t="s">
        <v>391</v>
      </c>
      <c r="D109" s="466" t="s">
        <v>392</v>
      </c>
      <c r="E109" s="468">
        <v>1</v>
      </c>
      <c r="F109" s="468">
        <v>1</v>
      </c>
      <c r="G109" s="468">
        <v>1</v>
      </c>
      <c r="H109" s="468">
        <v>1</v>
      </c>
      <c r="I109" s="468">
        <v>1</v>
      </c>
      <c r="J109" s="468">
        <v>1</v>
      </c>
      <c r="K109" s="468">
        <v>1</v>
      </c>
      <c r="L109" s="468">
        <v>1</v>
      </c>
      <c r="M109" s="468">
        <v>1</v>
      </c>
      <c r="N109" s="468">
        <v>1</v>
      </c>
      <c r="O109" s="468">
        <v>1</v>
      </c>
      <c r="P109" s="468">
        <v>1</v>
      </c>
      <c r="Q109" s="423">
        <f t="shared" ref="Q109:Q137" si="4">SUM(E109:P109)</f>
        <v>12</v>
      </c>
      <c r="R109" s="424" t="s">
        <v>101</v>
      </c>
      <c r="S109" s="424"/>
      <c r="T109" s="424"/>
      <c r="U109" s="458" t="s">
        <v>393</v>
      </c>
      <c r="V109" s="439" t="s">
        <v>394</v>
      </c>
      <c r="W109" s="426"/>
      <c r="X109" s="415"/>
      <c r="Y109" s="415"/>
      <c r="Z109" s="415"/>
      <c r="AA109" s="415"/>
      <c r="AB109" s="415"/>
      <c r="AC109" s="427"/>
      <c r="AD109" s="427"/>
      <c r="AE109" s="427"/>
      <c r="AF109" s="428"/>
      <c r="AG109" s="428"/>
      <c r="AH109" s="428"/>
      <c r="AI109" s="428"/>
      <c r="AJ109" s="428"/>
      <c r="AK109" s="428"/>
      <c r="AL109" s="428"/>
      <c r="AM109" s="428"/>
      <c r="AN109" s="428"/>
      <c r="AO109" s="428"/>
      <c r="AP109" s="428"/>
      <c r="AQ109" s="428"/>
      <c r="AR109" s="428"/>
      <c r="AS109" s="428"/>
      <c r="AT109" s="428"/>
      <c r="AU109" s="428"/>
      <c r="AV109" s="428"/>
      <c r="AW109" s="428"/>
      <c r="AX109" s="428"/>
      <c r="AY109" s="428"/>
      <c r="AZ109" s="428"/>
      <c r="BA109" s="428"/>
      <c r="BB109" s="428"/>
      <c r="BC109" s="428"/>
      <c r="BD109" s="428"/>
      <c r="BE109" s="428"/>
      <c r="BF109" s="428"/>
      <c r="BG109" s="428"/>
      <c r="BH109" s="428"/>
      <c r="BI109" s="428"/>
      <c r="BJ109" s="428"/>
      <c r="BK109" s="428"/>
      <c r="BL109" s="428"/>
      <c r="BM109" s="428"/>
      <c r="BN109" s="428"/>
    </row>
    <row r="110" spans="1:66" s="413" customFormat="1" ht="120" x14ac:dyDescent="0.2">
      <c r="A110" s="462" t="s">
        <v>389</v>
      </c>
      <c r="B110" s="466" t="s">
        <v>390</v>
      </c>
      <c r="C110" s="467" t="s">
        <v>395</v>
      </c>
      <c r="D110" s="463" t="s">
        <v>396</v>
      </c>
      <c r="E110" s="465"/>
      <c r="F110" s="465">
        <v>1</v>
      </c>
      <c r="G110" s="465"/>
      <c r="H110" s="465"/>
      <c r="I110" s="465"/>
      <c r="J110" s="465"/>
      <c r="K110" s="465"/>
      <c r="L110" s="465">
        <v>1</v>
      </c>
      <c r="M110" s="465"/>
      <c r="N110" s="465"/>
      <c r="O110" s="465"/>
      <c r="P110" s="465"/>
      <c r="Q110" s="423">
        <f t="shared" si="4"/>
        <v>2</v>
      </c>
      <c r="R110" s="424" t="s">
        <v>101</v>
      </c>
      <c r="S110" s="424"/>
      <c r="T110" s="424"/>
      <c r="U110" s="458" t="s">
        <v>397</v>
      </c>
      <c r="V110" s="429" t="s">
        <v>394</v>
      </c>
      <c r="W110" s="426"/>
      <c r="X110" s="415"/>
      <c r="Y110" s="415"/>
      <c r="Z110" s="415"/>
      <c r="AA110" s="415"/>
      <c r="AB110" s="415"/>
      <c r="AC110" s="427"/>
      <c r="AD110" s="427"/>
      <c r="AE110" s="427"/>
      <c r="AF110" s="428"/>
      <c r="AG110" s="428"/>
      <c r="AH110" s="428"/>
      <c r="AI110" s="428"/>
      <c r="AJ110" s="428"/>
      <c r="AK110" s="428"/>
      <c r="AL110" s="428"/>
      <c r="AM110" s="428"/>
      <c r="AN110" s="428"/>
      <c r="AO110" s="428"/>
      <c r="AP110" s="428"/>
      <c r="AQ110" s="428"/>
      <c r="AR110" s="428"/>
      <c r="AS110" s="428"/>
      <c r="AT110" s="428"/>
      <c r="AU110" s="428"/>
      <c r="AV110" s="428"/>
      <c r="AW110" s="428"/>
      <c r="AX110" s="428"/>
      <c r="AY110" s="428"/>
      <c r="AZ110" s="428"/>
      <c r="BA110" s="428"/>
      <c r="BB110" s="428"/>
      <c r="BC110" s="428"/>
      <c r="BD110" s="428"/>
      <c r="BE110" s="428"/>
      <c r="BF110" s="428"/>
      <c r="BG110" s="428"/>
      <c r="BH110" s="428"/>
      <c r="BI110" s="428"/>
      <c r="BJ110" s="428"/>
      <c r="BK110" s="428"/>
      <c r="BL110" s="428"/>
      <c r="BM110" s="428"/>
      <c r="BN110" s="428"/>
    </row>
    <row r="111" spans="1:66" s="413" customFormat="1" ht="120" x14ac:dyDescent="0.2">
      <c r="A111" s="462" t="s">
        <v>389</v>
      </c>
      <c r="B111" s="466" t="s">
        <v>390</v>
      </c>
      <c r="C111" s="467" t="s">
        <v>398</v>
      </c>
      <c r="D111" s="466" t="s">
        <v>399</v>
      </c>
      <c r="E111" s="468"/>
      <c r="F111" s="468"/>
      <c r="G111" s="468"/>
      <c r="H111" s="468"/>
      <c r="I111" s="468"/>
      <c r="J111" s="468">
        <v>1</v>
      </c>
      <c r="K111" s="468"/>
      <c r="L111" s="468"/>
      <c r="M111" s="468"/>
      <c r="N111" s="468"/>
      <c r="O111" s="468"/>
      <c r="P111" s="468"/>
      <c r="Q111" s="423">
        <f t="shared" si="4"/>
        <v>1</v>
      </c>
      <c r="R111" s="424" t="s">
        <v>120</v>
      </c>
      <c r="S111" s="424" t="s">
        <v>161</v>
      </c>
      <c r="T111" s="424"/>
      <c r="U111" s="469" t="s">
        <v>397</v>
      </c>
      <c r="V111" s="429" t="s">
        <v>394</v>
      </c>
      <c r="W111" s="426"/>
      <c r="X111" s="415"/>
      <c r="Y111" s="415"/>
      <c r="Z111" s="415"/>
      <c r="AA111" s="415"/>
      <c r="AB111" s="415"/>
      <c r="AC111" s="427"/>
      <c r="AD111" s="427"/>
      <c r="AE111" s="427"/>
      <c r="AF111" s="428"/>
      <c r="AG111" s="428"/>
      <c r="AH111" s="428"/>
      <c r="AI111" s="428"/>
      <c r="AJ111" s="428"/>
      <c r="AK111" s="428"/>
      <c r="AL111" s="428"/>
      <c r="AM111" s="428"/>
      <c r="AN111" s="428"/>
      <c r="AO111" s="428"/>
      <c r="AP111" s="428"/>
      <c r="AQ111" s="428"/>
      <c r="AR111" s="428"/>
      <c r="AS111" s="428"/>
      <c r="AT111" s="428"/>
      <c r="AU111" s="428"/>
      <c r="AV111" s="428"/>
      <c r="AW111" s="428"/>
      <c r="AX111" s="428"/>
      <c r="AY111" s="428"/>
      <c r="AZ111" s="428"/>
      <c r="BA111" s="428"/>
      <c r="BB111" s="428"/>
      <c r="BC111" s="428"/>
      <c r="BD111" s="428"/>
      <c r="BE111" s="428"/>
      <c r="BF111" s="428"/>
      <c r="BG111" s="428"/>
      <c r="BH111" s="428"/>
      <c r="BI111" s="428"/>
      <c r="BJ111" s="428"/>
      <c r="BK111" s="428"/>
      <c r="BL111" s="428"/>
      <c r="BM111" s="428"/>
      <c r="BN111" s="428"/>
    </row>
    <row r="112" spans="1:66" s="413" customFormat="1" ht="135" x14ac:dyDescent="0.2">
      <c r="A112" s="462" t="s">
        <v>389</v>
      </c>
      <c r="B112" s="466" t="s">
        <v>390</v>
      </c>
      <c r="C112" s="467" t="s">
        <v>400</v>
      </c>
      <c r="D112" s="463" t="s">
        <v>401</v>
      </c>
      <c r="E112" s="465"/>
      <c r="F112" s="465"/>
      <c r="G112" s="465"/>
      <c r="H112" s="465"/>
      <c r="I112" s="465"/>
      <c r="J112" s="465"/>
      <c r="K112" s="465"/>
      <c r="L112" s="465">
        <v>1</v>
      </c>
      <c r="M112" s="465"/>
      <c r="N112" s="465"/>
      <c r="O112" s="465"/>
      <c r="P112" s="465"/>
      <c r="Q112" s="423">
        <f t="shared" si="4"/>
        <v>1</v>
      </c>
      <c r="R112" s="424" t="s">
        <v>120</v>
      </c>
      <c r="S112" s="424" t="s">
        <v>161</v>
      </c>
      <c r="T112" s="424"/>
      <c r="U112" s="462" t="s">
        <v>402</v>
      </c>
      <c r="V112" s="429" t="s">
        <v>394</v>
      </c>
      <c r="W112" s="426"/>
      <c r="X112" s="415"/>
      <c r="Y112" s="415"/>
      <c r="Z112" s="415"/>
      <c r="AA112" s="415"/>
      <c r="AB112" s="415"/>
      <c r="AC112" s="427"/>
      <c r="AD112" s="427"/>
      <c r="AE112" s="427"/>
      <c r="AF112" s="428"/>
      <c r="AG112" s="428"/>
      <c r="AH112" s="428"/>
      <c r="AI112" s="428"/>
      <c r="AJ112" s="428"/>
      <c r="AK112" s="428"/>
      <c r="AL112" s="428"/>
      <c r="AM112" s="428"/>
      <c r="AN112" s="428"/>
      <c r="AO112" s="428"/>
      <c r="AP112" s="428"/>
      <c r="AQ112" s="428"/>
      <c r="AR112" s="428"/>
      <c r="AS112" s="428"/>
      <c r="AT112" s="428"/>
      <c r="AU112" s="428"/>
      <c r="AV112" s="428"/>
      <c r="AW112" s="428"/>
      <c r="AX112" s="428"/>
      <c r="AY112" s="428"/>
      <c r="AZ112" s="428"/>
      <c r="BA112" s="428"/>
      <c r="BB112" s="428"/>
      <c r="BC112" s="428"/>
      <c r="BD112" s="428"/>
      <c r="BE112" s="428"/>
      <c r="BF112" s="428"/>
      <c r="BG112" s="428"/>
      <c r="BH112" s="428"/>
      <c r="BI112" s="428"/>
      <c r="BJ112" s="428"/>
      <c r="BK112" s="428"/>
      <c r="BL112" s="428"/>
      <c r="BM112" s="428"/>
      <c r="BN112" s="428"/>
    </row>
    <row r="113" spans="1:66" s="413" customFormat="1" ht="165" x14ac:dyDescent="0.2">
      <c r="A113" s="462" t="s">
        <v>389</v>
      </c>
      <c r="B113" s="466" t="s">
        <v>390</v>
      </c>
      <c r="C113" s="467" t="s">
        <v>403</v>
      </c>
      <c r="D113" s="466" t="s">
        <v>404</v>
      </c>
      <c r="E113" s="468"/>
      <c r="F113" s="468"/>
      <c r="G113" s="468"/>
      <c r="H113" s="468"/>
      <c r="I113" s="468"/>
      <c r="J113" s="468"/>
      <c r="K113" s="468"/>
      <c r="L113" s="468"/>
      <c r="M113" s="468"/>
      <c r="N113" s="468"/>
      <c r="O113" s="468"/>
      <c r="P113" s="468">
        <v>1</v>
      </c>
      <c r="Q113" s="423">
        <f t="shared" si="4"/>
        <v>1</v>
      </c>
      <c r="R113" s="424" t="s">
        <v>120</v>
      </c>
      <c r="S113" s="424" t="s">
        <v>161</v>
      </c>
      <c r="T113" s="424"/>
      <c r="U113" s="469" t="s">
        <v>405</v>
      </c>
      <c r="V113" s="429" t="s">
        <v>394</v>
      </c>
      <c r="W113" s="426"/>
      <c r="X113" s="415"/>
      <c r="Y113" s="415"/>
      <c r="Z113" s="415"/>
      <c r="AA113" s="415"/>
      <c r="AB113" s="415"/>
      <c r="AC113" s="427"/>
      <c r="AD113" s="427"/>
      <c r="AE113" s="427"/>
      <c r="AF113" s="428"/>
      <c r="AG113" s="428"/>
      <c r="AH113" s="428"/>
      <c r="AI113" s="428"/>
      <c r="AJ113" s="428"/>
      <c r="AK113" s="428"/>
      <c r="AL113" s="428"/>
      <c r="AM113" s="428"/>
      <c r="AN113" s="428"/>
      <c r="AO113" s="428"/>
      <c r="AP113" s="428"/>
      <c r="AQ113" s="428"/>
      <c r="AR113" s="428"/>
      <c r="AS113" s="428"/>
      <c r="AT113" s="428"/>
      <c r="AU113" s="428"/>
      <c r="AV113" s="428"/>
      <c r="AW113" s="428"/>
      <c r="AX113" s="428"/>
      <c r="AY113" s="428"/>
      <c r="AZ113" s="428"/>
      <c r="BA113" s="428"/>
      <c r="BB113" s="428"/>
      <c r="BC113" s="428"/>
      <c r="BD113" s="428"/>
      <c r="BE113" s="428"/>
      <c r="BF113" s="428"/>
      <c r="BG113" s="428"/>
      <c r="BH113" s="428"/>
      <c r="BI113" s="428"/>
      <c r="BJ113" s="428"/>
      <c r="BK113" s="428"/>
      <c r="BL113" s="428"/>
      <c r="BM113" s="428"/>
      <c r="BN113" s="428"/>
    </row>
    <row r="114" spans="1:66" s="413" customFormat="1" ht="120" x14ac:dyDescent="0.2">
      <c r="A114" s="462" t="s">
        <v>389</v>
      </c>
      <c r="B114" s="466" t="s">
        <v>390</v>
      </c>
      <c r="C114" s="467" t="s">
        <v>406</v>
      </c>
      <c r="D114" s="463" t="s">
        <v>407</v>
      </c>
      <c r="E114" s="465"/>
      <c r="F114" s="465"/>
      <c r="G114" s="465"/>
      <c r="H114" s="465"/>
      <c r="I114" s="465"/>
      <c r="J114" s="465"/>
      <c r="K114" s="465"/>
      <c r="L114" s="465"/>
      <c r="M114" s="465">
        <v>1</v>
      </c>
      <c r="N114" s="465"/>
      <c r="O114" s="465"/>
      <c r="P114" s="465"/>
      <c r="Q114" s="423">
        <f t="shared" si="4"/>
        <v>1</v>
      </c>
      <c r="R114" s="424" t="s">
        <v>120</v>
      </c>
      <c r="S114" s="424" t="s">
        <v>161</v>
      </c>
      <c r="T114" s="424"/>
      <c r="U114" s="462" t="s">
        <v>408</v>
      </c>
      <c r="V114" s="429" t="s">
        <v>394</v>
      </c>
      <c r="W114" s="426"/>
      <c r="X114" s="415"/>
      <c r="Y114" s="415"/>
      <c r="Z114" s="415"/>
      <c r="AA114" s="415"/>
      <c r="AB114" s="415"/>
      <c r="AC114" s="427"/>
      <c r="AD114" s="427"/>
      <c r="AE114" s="427"/>
      <c r="AF114" s="428"/>
      <c r="AG114" s="428"/>
      <c r="AH114" s="428"/>
      <c r="AI114" s="428"/>
      <c r="AJ114" s="428"/>
      <c r="AK114" s="428"/>
      <c r="AL114" s="428"/>
      <c r="AM114" s="428"/>
      <c r="AN114" s="428"/>
      <c r="AO114" s="428"/>
      <c r="AP114" s="428"/>
      <c r="AQ114" s="428"/>
      <c r="AR114" s="428"/>
      <c r="AS114" s="428"/>
      <c r="AT114" s="428"/>
      <c r="AU114" s="428"/>
      <c r="AV114" s="428"/>
      <c r="AW114" s="428"/>
      <c r="AX114" s="428"/>
      <c r="AY114" s="428"/>
      <c r="AZ114" s="428"/>
      <c r="BA114" s="428"/>
      <c r="BB114" s="428"/>
      <c r="BC114" s="428"/>
      <c r="BD114" s="428"/>
      <c r="BE114" s="428"/>
      <c r="BF114" s="428"/>
      <c r="BG114" s="428"/>
      <c r="BH114" s="428"/>
      <c r="BI114" s="428"/>
      <c r="BJ114" s="428"/>
      <c r="BK114" s="428"/>
      <c r="BL114" s="428"/>
      <c r="BM114" s="428"/>
      <c r="BN114" s="428"/>
    </row>
    <row r="115" spans="1:66" s="413" customFormat="1" ht="360" x14ac:dyDescent="0.2">
      <c r="A115" s="462" t="s">
        <v>389</v>
      </c>
      <c r="B115" s="466" t="s">
        <v>390</v>
      </c>
      <c r="C115" s="467" t="s">
        <v>409</v>
      </c>
      <c r="D115" s="466" t="s">
        <v>410</v>
      </c>
      <c r="E115" s="468"/>
      <c r="F115" s="468"/>
      <c r="G115" s="468">
        <v>1</v>
      </c>
      <c r="H115" s="468"/>
      <c r="I115" s="468"/>
      <c r="J115" s="468"/>
      <c r="K115" s="468"/>
      <c r="L115" s="468"/>
      <c r="M115" s="468"/>
      <c r="N115" s="468"/>
      <c r="O115" s="468"/>
      <c r="P115" s="468"/>
      <c r="Q115" s="423">
        <f t="shared" si="4"/>
        <v>1</v>
      </c>
      <c r="R115" s="424" t="s">
        <v>411</v>
      </c>
      <c r="S115" s="424"/>
      <c r="T115" s="424"/>
      <c r="U115" s="469" t="s">
        <v>412</v>
      </c>
      <c r="V115" s="429" t="s">
        <v>394</v>
      </c>
      <c r="W115" s="426"/>
      <c r="X115" s="415"/>
      <c r="Y115" s="415"/>
      <c r="Z115" s="415"/>
      <c r="AA115" s="415"/>
      <c r="AB115" s="415"/>
      <c r="AC115" s="427"/>
      <c r="AD115" s="427"/>
      <c r="AE115" s="427"/>
      <c r="AF115" s="428"/>
      <c r="AG115" s="428"/>
      <c r="AH115" s="428"/>
      <c r="AI115" s="428"/>
      <c r="AJ115" s="428"/>
      <c r="AK115" s="428"/>
      <c r="AL115" s="428"/>
      <c r="AM115" s="428"/>
      <c r="AN115" s="428"/>
      <c r="AO115" s="428"/>
      <c r="AP115" s="428"/>
      <c r="AQ115" s="428"/>
      <c r="AR115" s="428"/>
      <c r="AS115" s="428"/>
      <c r="AT115" s="428"/>
      <c r="AU115" s="428"/>
      <c r="AV115" s="428"/>
      <c r="AW115" s="428"/>
      <c r="AX115" s="428"/>
      <c r="AY115" s="428"/>
      <c r="AZ115" s="428"/>
      <c r="BA115" s="428"/>
      <c r="BB115" s="428"/>
      <c r="BC115" s="428"/>
      <c r="BD115" s="428"/>
      <c r="BE115" s="428"/>
      <c r="BF115" s="428"/>
      <c r="BG115" s="428"/>
      <c r="BH115" s="428"/>
      <c r="BI115" s="428"/>
      <c r="BJ115" s="428"/>
      <c r="BK115" s="428"/>
      <c r="BL115" s="428"/>
      <c r="BM115" s="428"/>
      <c r="BN115" s="428"/>
    </row>
    <row r="116" spans="1:66" s="413" customFormat="1" ht="120" x14ac:dyDescent="0.2">
      <c r="A116" s="462" t="s">
        <v>389</v>
      </c>
      <c r="B116" s="466" t="s">
        <v>390</v>
      </c>
      <c r="C116" s="467" t="s">
        <v>413</v>
      </c>
      <c r="D116" s="463" t="s">
        <v>414</v>
      </c>
      <c r="E116" s="465"/>
      <c r="F116" s="465"/>
      <c r="G116" s="465"/>
      <c r="H116" s="465">
        <v>1</v>
      </c>
      <c r="I116" s="465"/>
      <c r="J116" s="465"/>
      <c r="K116" s="465"/>
      <c r="L116" s="465"/>
      <c r="M116" s="465"/>
      <c r="N116" s="465"/>
      <c r="O116" s="465"/>
      <c r="P116" s="465"/>
      <c r="Q116" s="423">
        <f t="shared" si="4"/>
        <v>1</v>
      </c>
      <c r="R116" s="424" t="s">
        <v>415</v>
      </c>
      <c r="S116" s="424"/>
      <c r="T116" s="424"/>
      <c r="U116" s="462" t="s">
        <v>416</v>
      </c>
      <c r="V116" s="429" t="s">
        <v>394</v>
      </c>
      <c r="W116" s="426"/>
      <c r="X116" s="415"/>
      <c r="Y116" s="415"/>
      <c r="Z116" s="415"/>
      <c r="AA116" s="415"/>
      <c r="AB116" s="415"/>
      <c r="AC116" s="427"/>
      <c r="AD116" s="427"/>
      <c r="AE116" s="427"/>
      <c r="AF116" s="428"/>
      <c r="AG116" s="428"/>
      <c r="AH116" s="428"/>
      <c r="AI116" s="428"/>
      <c r="AJ116" s="428"/>
      <c r="AK116" s="428"/>
      <c r="AL116" s="428"/>
      <c r="AM116" s="428"/>
      <c r="AN116" s="428"/>
      <c r="AO116" s="428"/>
      <c r="AP116" s="428"/>
      <c r="AQ116" s="428"/>
      <c r="AR116" s="428"/>
      <c r="AS116" s="428"/>
      <c r="AT116" s="428"/>
      <c r="AU116" s="428"/>
      <c r="AV116" s="428"/>
      <c r="AW116" s="428"/>
      <c r="AX116" s="428"/>
      <c r="AY116" s="428"/>
      <c r="AZ116" s="428"/>
      <c r="BA116" s="428"/>
      <c r="BB116" s="428"/>
      <c r="BC116" s="428"/>
      <c r="BD116" s="428"/>
      <c r="BE116" s="428"/>
      <c r="BF116" s="428"/>
      <c r="BG116" s="428"/>
      <c r="BH116" s="428"/>
      <c r="BI116" s="428"/>
      <c r="BJ116" s="428"/>
      <c r="BK116" s="428"/>
      <c r="BL116" s="428"/>
      <c r="BM116" s="428"/>
      <c r="BN116" s="428"/>
    </row>
    <row r="117" spans="1:66" s="413" customFormat="1" ht="120" x14ac:dyDescent="0.2">
      <c r="A117" s="462" t="s">
        <v>417</v>
      </c>
      <c r="B117" s="466" t="s">
        <v>418</v>
      </c>
      <c r="C117" s="467" t="s">
        <v>419</v>
      </c>
      <c r="D117" s="463" t="s">
        <v>420</v>
      </c>
      <c r="E117" s="465"/>
      <c r="F117" s="465"/>
      <c r="G117" s="465"/>
      <c r="H117" s="465"/>
      <c r="I117" s="465"/>
      <c r="J117" s="465"/>
      <c r="K117" s="465"/>
      <c r="L117" s="465"/>
      <c r="M117" s="465">
        <v>1</v>
      </c>
      <c r="N117" s="465"/>
      <c r="O117" s="465"/>
      <c r="P117" s="465"/>
      <c r="Q117" s="423">
        <f t="shared" si="4"/>
        <v>1</v>
      </c>
      <c r="R117" s="424"/>
      <c r="S117" s="424"/>
      <c r="T117" s="424" t="s">
        <v>421</v>
      </c>
      <c r="U117" s="462"/>
      <c r="V117" s="429" t="s">
        <v>246</v>
      </c>
      <c r="W117" s="426"/>
      <c r="X117" s="415"/>
      <c r="Y117" s="415"/>
      <c r="Z117" s="415"/>
      <c r="AA117" s="415"/>
      <c r="AB117" s="415"/>
      <c r="AC117" s="427"/>
      <c r="AD117" s="427"/>
      <c r="AE117" s="427"/>
      <c r="AF117" s="428"/>
      <c r="AG117" s="428"/>
      <c r="AH117" s="428"/>
      <c r="AI117" s="428"/>
      <c r="AJ117" s="428"/>
      <c r="AK117" s="428"/>
      <c r="AL117" s="428"/>
      <c r="AM117" s="428"/>
      <c r="AN117" s="428"/>
      <c r="AO117" s="428"/>
      <c r="AP117" s="428"/>
      <c r="AQ117" s="428"/>
      <c r="AR117" s="428"/>
      <c r="AS117" s="428"/>
      <c r="AT117" s="428"/>
      <c r="AU117" s="428"/>
      <c r="AV117" s="428"/>
      <c r="AW117" s="428"/>
      <c r="AX117" s="428"/>
      <c r="AY117" s="428"/>
      <c r="AZ117" s="428"/>
      <c r="BA117" s="428"/>
      <c r="BB117" s="428"/>
      <c r="BC117" s="428"/>
      <c r="BD117" s="428"/>
      <c r="BE117" s="428"/>
      <c r="BF117" s="428"/>
      <c r="BG117" s="428"/>
      <c r="BH117" s="428"/>
      <c r="BI117" s="428"/>
      <c r="BJ117" s="428"/>
      <c r="BK117" s="428"/>
      <c r="BL117" s="428"/>
      <c r="BM117" s="428"/>
      <c r="BN117" s="428"/>
    </row>
    <row r="118" spans="1:66" s="413" customFormat="1" ht="120" x14ac:dyDescent="0.2">
      <c r="A118" s="462" t="s">
        <v>417</v>
      </c>
      <c r="B118" s="466" t="s">
        <v>418</v>
      </c>
      <c r="C118" s="467" t="s">
        <v>422</v>
      </c>
      <c r="D118" s="463" t="s">
        <v>423</v>
      </c>
      <c r="E118" s="465"/>
      <c r="F118" s="465"/>
      <c r="G118" s="465"/>
      <c r="H118" s="465"/>
      <c r="I118" s="465"/>
      <c r="J118" s="465"/>
      <c r="K118" s="465"/>
      <c r="L118" s="465"/>
      <c r="M118" s="465">
        <v>1</v>
      </c>
      <c r="N118" s="465"/>
      <c r="O118" s="465"/>
      <c r="P118" s="465"/>
      <c r="Q118" s="423">
        <f t="shared" si="4"/>
        <v>1</v>
      </c>
      <c r="R118" s="424" t="s">
        <v>101</v>
      </c>
      <c r="S118" s="424"/>
      <c r="T118" s="424" t="s">
        <v>424</v>
      </c>
      <c r="U118" s="462"/>
      <c r="V118" s="429" t="s">
        <v>246</v>
      </c>
      <c r="W118" s="426"/>
      <c r="X118" s="415"/>
      <c r="Y118" s="415"/>
      <c r="Z118" s="415"/>
      <c r="AA118" s="415"/>
      <c r="AB118" s="415"/>
      <c r="AC118" s="427"/>
      <c r="AD118" s="427"/>
      <c r="AE118" s="427"/>
      <c r="AF118" s="428"/>
      <c r="AG118" s="428"/>
      <c r="AH118" s="428"/>
      <c r="AI118" s="428"/>
      <c r="AJ118" s="428"/>
      <c r="AK118" s="428"/>
      <c r="AL118" s="428"/>
      <c r="AM118" s="428"/>
      <c r="AN118" s="428"/>
      <c r="AO118" s="428"/>
      <c r="AP118" s="428"/>
      <c r="AQ118" s="428"/>
      <c r="AR118" s="428"/>
      <c r="AS118" s="428"/>
      <c r="AT118" s="428"/>
      <c r="AU118" s="428"/>
      <c r="AV118" s="428"/>
      <c r="AW118" s="428"/>
      <c r="AX118" s="428"/>
      <c r="AY118" s="428"/>
      <c r="AZ118" s="428"/>
      <c r="BA118" s="428"/>
      <c r="BB118" s="428"/>
      <c r="BC118" s="428"/>
      <c r="BD118" s="428"/>
      <c r="BE118" s="428"/>
      <c r="BF118" s="428"/>
      <c r="BG118" s="428"/>
      <c r="BH118" s="428"/>
      <c r="BI118" s="428"/>
      <c r="BJ118" s="428"/>
      <c r="BK118" s="428"/>
      <c r="BL118" s="428"/>
      <c r="BM118" s="428"/>
      <c r="BN118" s="428"/>
    </row>
    <row r="119" spans="1:66" s="413" customFormat="1" ht="120" x14ac:dyDescent="0.2">
      <c r="A119" s="462" t="s">
        <v>417</v>
      </c>
      <c r="B119" s="466" t="s">
        <v>418</v>
      </c>
      <c r="C119" s="467" t="s">
        <v>425</v>
      </c>
      <c r="D119" s="466" t="s">
        <v>426</v>
      </c>
      <c r="E119" s="468"/>
      <c r="F119" s="468"/>
      <c r="G119" s="468">
        <v>1</v>
      </c>
      <c r="H119" s="468"/>
      <c r="I119" s="468"/>
      <c r="J119" s="468">
        <v>1</v>
      </c>
      <c r="K119" s="468"/>
      <c r="L119" s="468"/>
      <c r="M119" s="468">
        <v>1</v>
      </c>
      <c r="N119" s="468"/>
      <c r="O119" s="468"/>
      <c r="P119" s="468">
        <v>1</v>
      </c>
      <c r="Q119" s="423">
        <f t="shared" si="4"/>
        <v>4</v>
      </c>
      <c r="R119" s="424" t="s">
        <v>101</v>
      </c>
      <c r="S119" s="424"/>
      <c r="T119" s="424"/>
      <c r="U119" s="469" t="s">
        <v>427</v>
      </c>
      <c r="V119" s="429" t="s">
        <v>246</v>
      </c>
      <c r="W119" s="426"/>
      <c r="X119" s="415"/>
      <c r="Y119" s="415"/>
      <c r="Z119" s="415"/>
      <c r="AA119" s="415"/>
      <c r="AB119" s="415"/>
      <c r="AC119" s="427"/>
      <c r="AD119" s="427"/>
      <c r="AE119" s="427"/>
      <c r="AF119" s="428"/>
      <c r="AG119" s="428"/>
      <c r="AH119" s="428"/>
      <c r="AI119" s="428"/>
      <c r="AJ119" s="428"/>
      <c r="AK119" s="428"/>
      <c r="AL119" s="428"/>
      <c r="AM119" s="428"/>
      <c r="AN119" s="428"/>
      <c r="AO119" s="428"/>
      <c r="AP119" s="428"/>
      <c r="AQ119" s="428"/>
      <c r="AR119" s="428"/>
      <c r="AS119" s="428"/>
      <c r="AT119" s="428"/>
      <c r="AU119" s="428"/>
      <c r="AV119" s="428"/>
      <c r="AW119" s="428"/>
      <c r="AX119" s="428"/>
      <c r="AY119" s="428"/>
      <c r="AZ119" s="428"/>
      <c r="BA119" s="428"/>
      <c r="BB119" s="428"/>
      <c r="BC119" s="428"/>
      <c r="BD119" s="428"/>
      <c r="BE119" s="428"/>
      <c r="BF119" s="428"/>
      <c r="BG119" s="428"/>
      <c r="BH119" s="428"/>
      <c r="BI119" s="428"/>
      <c r="BJ119" s="428"/>
      <c r="BK119" s="428"/>
      <c r="BL119" s="428"/>
      <c r="BM119" s="428"/>
      <c r="BN119" s="428"/>
    </row>
    <row r="120" spans="1:66" s="413" customFormat="1" ht="120" x14ac:dyDescent="0.2">
      <c r="A120" s="462" t="s">
        <v>417</v>
      </c>
      <c r="B120" s="466" t="s">
        <v>418</v>
      </c>
      <c r="C120" s="461" t="s">
        <v>428</v>
      </c>
      <c r="D120" s="473" t="s">
        <v>429</v>
      </c>
      <c r="E120" s="465"/>
      <c r="F120" s="465"/>
      <c r="G120" s="465">
        <v>1</v>
      </c>
      <c r="H120" s="465"/>
      <c r="I120" s="465"/>
      <c r="J120" s="465">
        <v>1</v>
      </c>
      <c r="K120" s="465"/>
      <c r="L120" s="465"/>
      <c r="M120" s="465">
        <v>1</v>
      </c>
      <c r="N120" s="465"/>
      <c r="O120" s="465"/>
      <c r="P120" s="465">
        <v>1</v>
      </c>
      <c r="Q120" s="423">
        <f t="shared" si="4"/>
        <v>4</v>
      </c>
      <c r="R120" s="424" t="s">
        <v>112</v>
      </c>
      <c r="S120" s="424"/>
      <c r="T120" s="424"/>
      <c r="U120" s="462" t="s">
        <v>430</v>
      </c>
      <c r="V120" s="425" t="s">
        <v>288</v>
      </c>
      <c r="W120" s="426"/>
      <c r="X120" s="415"/>
      <c r="Y120" s="415"/>
      <c r="Z120" s="415"/>
      <c r="AA120" s="415"/>
      <c r="AB120" s="415"/>
      <c r="AC120" s="427"/>
      <c r="AD120" s="427"/>
      <c r="AE120" s="427"/>
      <c r="AF120" s="428"/>
      <c r="AG120" s="428"/>
      <c r="AH120" s="428"/>
      <c r="AI120" s="428"/>
      <c r="AJ120" s="428"/>
      <c r="AK120" s="428"/>
      <c r="AL120" s="428"/>
      <c r="AM120" s="428"/>
      <c r="AN120" s="428"/>
      <c r="AO120" s="428"/>
      <c r="AP120" s="428"/>
      <c r="AQ120" s="428"/>
      <c r="AR120" s="428"/>
      <c r="AS120" s="428"/>
      <c r="AT120" s="428"/>
      <c r="AU120" s="428"/>
      <c r="AV120" s="428"/>
      <c r="AW120" s="428"/>
      <c r="AX120" s="428"/>
      <c r="AY120" s="428"/>
      <c r="AZ120" s="428"/>
      <c r="BA120" s="428"/>
      <c r="BB120" s="428"/>
      <c r="BC120" s="428"/>
      <c r="BD120" s="428"/>
      <c r="BE120" s="428"/>
      <c r="BF120" s="428"/>
      <c r="BG120" s="428"/>
      <c r="BH120" s="428"/>
      <c r="BI120" s="428"/>
      <c r="BJ120" s="428"/>
      <c r="BK120" s="428"/>
      <c r="BL120" s="428"/>
      <c r="BM120" s="428"/>
      <c r="BN120" s="428"/>
    </row>
    <row r="121" spans="1:66" s="413" customFormat="1" ht="165" x14ac:dyDescent="0.2">
      <c r="A121" s="462" t="s">
        <v>431</v>
      </c>
      <c r="B121" s="466" t="s">
        <v>432</v>
      </c>
      <c r="C121" s="461" t="s">
        <v>433</v>
      </c>
      <c r="D121" s="461" t="s">
        <v>434</v>
      </c>
      <c r="E121" s="468">
        <v>1</v>
      </c>
      <c r="F121" s="468"/>
      <c r="G121" s="468"/>
      <c r="H121" s="468">
        <v>1</v>
      </c>
      <c r="I121" s="468"/>
      <c r="J121" s="468"/>
      <c r="K121" s="468"/>
      <c r="L121" s="468">
        <v>1</v>
      </c>
      <c r="M121" s="468"/>
      <c r="N121" s="468"/>
      <c r="O121" s="468"/>
      <c r="P121" s="468">
        <v>1</v>
      </c>
      <c r="Q121" s="423">
        <f t="shared" si="4"/>
        <v>4</v>
      </c>
      <c r="R121" s="424" t="s">
        <v>112</v>
      </c>
      <c r="S121" s="424" t="s">
        <v>131</v>
      </c>
      <c r="T121" s="424" t="s">
        <v>435</v>
      </c>
      <c r="U121" s="469" t="s">
        <v>436</v>
      </c>
      <c r="V121" s="429" t="s">
        <v>437</v>
      </c>
      <c r="W121" s="426"/>
      <c r="X121" s="415"/>
      <c r="Y121" s="415"/>
      <c r="Z121" s="415"/>
      <c r="AA121" s="415"/>
      <c r="AB121" s="415"/>
      <c r="AC121" s="427"/>
      <c r="AD121" s="427"/>
      <c r="AE121" s="427"/>
      <c r="AF121" s="428"/>
      <c r="AG121" s="428"/>
      <c r="AH121" s="428"/>
      <c r="AI121" s="428"/>
      <c r="AJ121" s="428"/>
      <c r="AK121" s="428"/>
      <c r="AL121" s="428"/>
      <c r="AM121" s="428"/>
      <c r="AN121" s="428"/>
      <c r="AO121" s="428"/>
      <c r="AP121" s="428"/>
      <c r="AQ121" s="428"/>
      <c r="AR121" s="428"/>
      <c r="AS121" s="428"/>
      <c r="AT121" s="428"/>
      <c r="AU121" s="428"/>
      <c r="AV121" s="428"/>
      <c r="AW121" s="428"/>
      <c r="AX121" s="428"/>
      <c r="AY121" s="428"/>
      <c r="AZ121" s="428"/>
      <c r="BA121" s="428"/>
      <c r="BB121" s="428"/>
      <c r="BC121" s="428"/>
      <c r="BD121" s="428"/>
      <c r="BE121" s="428"/>
      <c r="BF121" s="428"/>
      <c r="BG121" s="428"/>
      <c r="BH121" s="428"/>
      <c r="BI121" s="428"/>
      <c r="BJ121" s="428"/>
      <c r="BK121" s="428"/>
      <c r="BL121" s="428"/>
      <c r="BM121" s="428"/>
      <c r="BN121" s="428"/>
    </row>
    <row r="122" spans="1:66" s="413" customFormat="1" ht="165" x14ac:dyDescent="0.2">
      <c r="A122" s="462" t="s">
        <v>431</v>
      </c>
      <c r="B122" s="466" t="s">
        <v>432</v>
      </c>
      <c r="C122" s="461" t="s">
        <v>438</v>
      </c>
      <c r="D122" s="473" t="s">
        <v>439</v>
      </c>
      <c r="E122" s="465">
        <v>1</v>
      </c>
      <c r="F122" s="465">
        <v>1</v>
      </c>
      <c r="G122" s="465">
        <v>1</v>
      </c>
      <c r="H122" s="465">
        <v>1</v>
      </c>
      <c r="I122" s="465">
        <v>1</v>
      </c>
      <c r="J122" s="465">
        <v>1</v>
      </c>
      <c r="K122" s="465">
        <v>1</v>
      </c>
      <c r="L122" s="465">
        <v>1</v>
      </c>
      <c r="M122" s="465">
        <v>1</v>
      </c>
      <c r="N122" s="465">
        <v>1</v>
      </c>
      <c r="O122" s="465">
        <v>1</v>
      </c>
      <c r="P122" s="465">
        <v>1</v>
      </c>
      <c r="Q122" s="423">
        <f t="shared" si="4"/>
        <v>12</v>
      </c>
      <c r="R122" s="424"/>
      <c r="S122" s="424"/>
      <c r="T122" s="424" t="s">
        <v>440</v>
      </c>
      <c r="U122" s="462" t="s">
        <v>441</v>
      </c>
      <c r="V122" s="429" t="s">
        <v>437</v>
      </c>
      <c r="W122" s="426"/>
      <c r="X122" s="415"/>
      <c r="Y122" s="415"/>
      <c r="Z122" s="415"/>
      <c r="AA122" s="415"/>
      <c r="AB122" s="415"/>
      <c r="AC122" s="427"/>
      <c r="AD122" s="427"/>
      <c r="AE122" s="427"/>
      <c r="AF122" s="428"/>
      <c r="AG122" s="428"/>
      <c r="AH122" s="428"/>
      <c r="AI122" s="428"/>
      <c r="AJ122" s="428"/>
      <c r="AK122" s="428"/>
      <c r="AL122" s="428"/>
      <c r="AM122" s="428"/>
      <c r="AN122" s="428"/>
      <c r="AO122" s="428"/>
      <c r="AP122" s="428"/>
      <c r="AQ122" s="428"/>
      <c r="AR122" s="428"/>
      <c r="AS122" s="428"/>
      <c r="AT122" s="428"/>
      <c r="AU122" s="428"/>
      <c r="AV122" s="428"/>
      <c r="AW122" s="428"/>
      <c r="AX122" s="428"/>
      <c r="AY122" s="428"/>
      <c r="AZ122" s="428"/>
      <c r="BA122" s="428"/>
      <c r="BB122" s="428"/>
      <c r="BC122" s="428"/>
      <c r="BD122" s="428"/>
      <c r="BE122" s="428"/>
      <c r="BF122" s="428"/>
      <c r="BG122" s="428"/>
      <c r="BH122" s="428"/>
      <c r="BI122" s="428"/>
      <c r="BJ122" s="428"/>
      <c r="BK122" s="428"/>
      <c r="BL122" s="428"/>
      <c r="BM122" s="428"/>
      <c r="BN122" s="428"/>
    </row>
    <row r="123" spans="1:66" s="413" customFormat="1" ht="165" x14ac:dyDescent="0.2">
      <c r="A123" s="462" t="s">
        <v>431</v>
      </c>
      <c r="B123" s="466" t="s">
        <v>432</v>
      </c>
      <c r="C123" s="461" t="s">
        <v>442</v>
      </c>
      <c r="D123" s="461" t="s">
        <v>443</v>
      </c>
      <c r="E123" s="468">
        <v>1</v>
      </c>
      <c r="F123" s="468"/>
      <c r="G123" s="468"/>
      <c r="H123" s="468">
        <v>1</v>
      </c>
      <c r="I123" s="468"/>
      <c r="J123" s="468"/>
      <c r="K123" s="468"/>
      <c r="L123" s="468">
        <v>1</v>
      </c>
      <c r="M123" s="468"/>
      <c r="N123" s="468"/>
      <c r="O123" s="468"/>
      <c r="P123" s="468">
        <v>1</v>
      </c>
      <c r="Q123" s="423">
        <f t="shared" si="4"/>
        <v>4</v>
      </c>
      <c r="R123" s="424" t="s">
        <v>112</v>
      </c>
      <c r="S123" s="424" t="s">
        <v>131</v>
      </c>
      <c r="T123" s="424" t="s">
        <v>435</v>
      </c>
      <c r="U123" s="469" t="s">
        <v>444</v>
      </c>
      <c r="V123" s="429" t="s">
        <v>437</v>
      </c>
      <c r="W123" s="426"/>
      <c r="X123" s="415"/>
      <c r="Y123" s="415"/>
      <c r="Z123" s="415"/>
      <c r="AA123" s="415"/>
      <c r="AB123" s="415"/>
      <c r="AC123" s="427"/>
      <c r="AD123" s="427"/>
      <c r="AE123" s="427"/>
      <c r="AF123" s="428"/>
      <c r="AG123" s="428"/>
      <c r="AH123" s="428"/>
      <c r="AI123" s="428"/>
      <c r="AJ123" s="428"/>
      <c r="AK123" s="428"/>
      <c r="AL123" s="428"/>
      <c r="AM123" s="428"/>
      <c r="AN123" s="428"/>
      <c r="AO123" s="428"/>
      <c r="AP123" s="428"/>
      <c r="AQ123" s="428"/>
      <c r="AR123" s="428"/>
      <c r="AS123" s="428"/>
      <c r="AT123" s="428"/>
      <c r="AU123" s="428"/>
      <c r="AV123" s="428"/>
      <c r="AW123" s="428"/>
      <c r="AX123" s="428"/>
      <c r="AY123" s="428"/>
      <c r="AZ123" s="428"/>
      <c r="BA123" s="428"/>
      <c r="BB123" s="428"/>
      <c r="BC123" s="428"/>
      <c r="BD123" s="428"/>
      <c r="BE123" s="428"/>
      <c r="BF123" s="428"/>
      <c r="BG123" s="428"/>
      <c r="BH123" s="428"/>
      <c r="BI123" s="428"/>
      <c r="BJ123" s="428"/>
      <c r="BK123" s="428"/>
      <c r="BL123" s="428"/>
      <c r="BM123" s="428"/>
      <c r="BN123" s="428"/>
    </row>
    <row r="124" spans="1:66" s="413" customFormat="1" ht="165" x14ac:dyDescent="0.2">
      <c r="A124" s="462" t="s">
        <v>431</v>
      </c>
      <c r="B124" s="466" t="s">
        <v>432</v>
      </c>
      <c r="C124" s="461" t="s">
        <v>445</v>
      </c>
      <c r="D124" s="473" t="s">
        <v>446</v>
      </c>
      <c r="E124" s="465">
        <v>1</v>
      </c>
      <c r="F124" s="465"/>
      <c r="G124" s="465">
        <v>1</v>
      </c>
      <c r="H124" s="465"/>
      <c r="I124" s="465">
        <v>1</v>
      </c>
      <c r="J124" s="465"/>
      <c r="K124" s="465">
        <v>1</v>
      </c>
      <c r="L124" s="465"/>
      <c r="M124" s="465">
        <v>1</v>
      </c>
      <c r="N124" s="465"/>
      <c r="O124" s="465">
        <v>1</v>
      </c>
      <c r="P124" s="465"/>
      <c r="Q124" s="423">
        <f t="shared" si="4"/>
        <v>6</v>
      </c>
      <c r="R124" s="424" t="s">
        <v>120</v>
      </c>
      <c r="S124" s="424" t="s">
        <v>143</v>
      </c>
      <c r="T124" s="424"/>
      <c r="U124" s="462" t="s">
        <v>447</v>
      </c>
      <c r="V124" s="429" t="s">
        <v>437</v>
      </c>
      <c r="W124" s="426"/>
      <c r="X124" s="415"/>
      <c r="Y124" s="415"/>
      <c r="Z124" s="415"/>
      <c r="AA124" s="415"/>
      <c r="AB124" s="415"/>
      <c r="AC124" s="427"/>
      <c r="AD124" s="427"/>
      <c r="AE124" s="427"/>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428"/>
      <c r="BA124" s="428"/>
      <c r="BB124" s="428"/>
      <c r="BC124" s="428"/>
      <c r="BD124" s="428"/>
      <c r="BE124" s="428"/>
      <c r="BF124" s="428"/>
      <c r="BG124" s="428"/>
      <c r="BH124" s="428"/>
      <c r="BI124" s="428"/>
      <c r="BJ124" s="428"/>
      <c r="BK124" s="428"/>
      <c r="BL124" s="428"/>
      <c r="BM124" s="428"/>
      <c r="BN124" s="428"/>
    </row>
    <row r="125" spans="1:66" s="413" customFormat="1" ht="165" x14ac:dyDescent="0.2">
      <c r="A125" s="462" t="s">
        <v>431</v>
      </c>
      <c r="B125" s="466" t="s">
        <v>432</v>
      </c>
      <c r="C125" s="461" t="s">
        <v>448</v>
      </c>
      <c r="D125" s="461" t="s">
        <v>449</v>
      </c>
      <c r="E125" s="468">
        <v>1</v>
      </c>
      <c r="F125" s="468">
        <v>1</v>
      </c>
      <c r="G125" s="468">
        <v>1</v>
      </c>
      <c r="H125" s="468">
        <v>1</v>
      </c>
      <c r="I125" s="468">
        <v>1</v>
      </c>
      <c r="J125" s="468">
        <v>1</v>
      </c>
      <c r="K125" s="468">
        <v>1</v>
      </c>
      <c r="L125" s="468">
        <v>1</v>
      </c>
      <c r="M125" s="468">
        <v>1</v>
      </c>
      <c r="N125" s="468">
        <v>1</v>
      </c>
      <c r="O125" s="468">
        <v>1</v>
      </c>
      <c r="P125" s="468">
        <v>1</v>
      </c>
      <c r="Q125" s="423">
        <f t="shared" si="4"/>
        <v>12</v>
      </c>
      <c r="R125" s="424" t="s">
        <v>101</v>
      </c>
      <c r="S125" s="424"/>
      <c r="T125" s="424"/>
      <c r="U125" s="469"/>
      <c r="V125" s="429" t="s">
        <v>437</v>
      </c>
      <c r="W125" s="426"/>
      <c r="X125" s="415"/>
      <c r="Y125" s="415"/>
      <c r="Z125" s="415"/>
      <c r="AA125" s="415"/>
      <c r="AB125" s="415"/>
      <c r="AC125" s="427"/>
      <c r="AD125" s="427"/>
      <c r="AE125" s="427"/>
      <c r="AF125" s="428"/>
      <c r="AG125" s="428"/>
      <c r="AH125" s="428"/>
      <c r="AI125" s="428"/>
      <c r="AJ125" s="428"/>
      <c r="AK125" s="428"/>
      <c r="AL125" s="428"/>
      <c r="AM125" s="428"/>
      <c r="AN125" s="428"/>
      <c r="AO125" s="428"/>
      <c r="AP125" s="428"/>
      <c r="AQ125" s="428"/>
      <c r="AR125" s="428"/>
      <c r="AS125" s="428"/>
      <c r="AT125" s="428"/>
      <c r="AU125" s="428"/>
      <c r="AV125" s="428"/>
      <c r="AW125" s="428"/>
      <c r="AX125" s="428"/>
      <c r="AY125" s="428"/>
      <c r="AZ125" s="428"/>
      <c r="BA125" s="428"/>
      <c r="BB125" s="428"/>
      <c r="BC125" s="428"/>
      <c r="BD125" s="428"/>
      <c r="BE125" s="428"/>
      <c r="BF125" s="428"/>
      <c r="BG125" s="428"/>
      <c r="BH125" s="428"/>
      <c r="BI125" s="428"/>
      <c r="BJ125" s="428"/>
      <c r="BK125" s="428"/>
      <c r="BL125" s="428"/>
      <c r="BM125" s="428"/>
      <c r="BN125" s="428"/>
    </row>
    <row r="126" spans="1:66" s="413" customFormat="1" ht="165" x14ac:dyDescent="0.2">
      <c r="A126" s="462" t="s">
        <v>431</v>
      </c>
      <c r="B126" s="466" t="s">
        <v>432</v>
      </c>
      <c r="C126" s="461" t="s">
        <v>450</v>
      </c>
      <c r="D126" s="473" t="s">
        <v>451</v>
      </c>
      <c r="E126" s="465"/>
      <c r="F126" s="465"/>
      <c r="G126" s="465">
        <v>1</v>
      </c>
      <c r="H126" s="465">
        <v>1</v>
      </c>
      <c r="I126" s="465">
        <v>1</v>
      </c>
      <c r="J126" s="465">
        <v>1</v>
      </c>
      <c r="K126" s="465">
        <v>1</v>
      </c>
      <c r="L126" s="465">
        <v>1</v>
      </c>
      <c r="M126" s="465">
        <v>1</v>
      </c>
      <c r="N126" s="465">
        <v>1</v>
      </c>
      <c r="O126" s="465">
        <v>1</v>
      </c>
      <c r="P126" s="465">
        <v>1</v>
      </c>
      <c r="Q126" s="423">
        <f t="shared" si="4"/>
        <v>10</v>
      </c>
      <c r="R126" s="424"/>
      <c r="S126" s="424"/>
      <c r="T126" s="424" t="s">
        <v>452</v>
      </c>
      <c r="U126" s="462"/>
      <c r="V126" s="429" t="s">
        <v>437</v>
      </c>
      <c r="W126" s="426"/>
      <c r="X126" s="415"/>
      <c r="Y126" s="415"/>
      <c r="Z126" s="415"/>
      <c r="AA126" s="415"/>
      <c r="AB126" s="415"/>
      <c r="AC126" s="427"/>
      <c r="AD126" s="427"/>
      <c r="AE126" s="427"/>
      <c r="AF126" s="428"/>
      <c r="AG126" s="428"/>
      <c r="AH126" s="428"/>
      <c r="AI126" s="428"/>
      <c r="AJ126" s="428"/>
      <c r="AK126" s="428"/>
      <c r="AL126" s="428"/>
      <c r="AM126" s="428"/>
      <c r="AN126" s="428"/>
      <c r="AO126" s="428"/>
      <c r="AP126" s="428"/>
      <c r="AQ126" s="428"/>
      <c r="AR126" s="428"/>
      <c r="AS126" s="428"/>
      <c r="AT126" s="428"/>
      <c r="AU126" s="428"/>
      <c r="AV126" s="428"/>
      <c r="AW126" s="428"/>
      <c r="AX126" s="428"/>
      <c r="AY126" s="428"/>
      <c r="AZ126" s="428"/>
      <c r="BA126" s="428"/>
      <c r="BB126" s="428"/>
      <c r="BC126" s="428"/>
      <c r="BD126" s="428"/>
      <c r="BE126" s="428"/>
      <c r="BF126" s="428"/>
      <c r="BG126" s="428"/>
      <c r="BH126" s="428"/>
      <c r="BI126" s="428"/>
      <c r="BJ126" s="428"/>
      <c r="BK126" s="428"/>
      <c r="BL126" s="428"/>
      <c r="BM126" s="428"/>
      <c r="BN126" s="428"/>
    </row>
    <row r="127" spans="1:66" s="413" customFormat="1" ht="165" x14ac:dyDescent="0.2">
      <c r="A127" s="462" t="s">
        <v>431</v>
      </c>
      <c r="B127" s="466" t="s">
        <v>432</v>
      </c>
      <c r="C127" s="461" t="s">
        <v>453</v>
      </c>
      <c r="D127" s="461" t="s">
        <v>454</v>
      </c>
      <c r="E127" s="468">
        <v>1</v>
      </c>
      <c r="F127" s="468">
        <v>1</v>
      </c>
      <c r="G127" s="468">
        <v>1</v>
      </c>
      <c r="H127" s="468">
        <v>1</v>
      </c>
      <c r="I127" s="468">
        <v>1</v>
      </c>
      <c r="J127" s="468">
        <v>1</v>
      </c>
      <c r="K127" s="468">
        <v>1</v>
      </c>
      <c r="L127" s="468">
        <v>1</v>
      </c>
      <c r="M127" s="468">
        <v>1</v>
      </c>
      <c r="N127" s="468">
        <v>1</v>
      </c>
      <c r="O127" s="468">
        <v>1</v>
      </c>
      <c r="P127" s="468">
        <v>1</v>
      </c>
      <c r="Q127" s="423">
        <f t="shared" si="4"/>
        <v>12</v>
      </c>
      <c r="R127" s="424"/>
      <c r="S127" s="424"/>
      <c r="T127" s="424" t="s">
        <v>455</v>
      </c>
      <c r="U127" s="469"/>
      <c r="V127" s="429" t="s">
        <v>437</v>
      </c>
      <c r="W127" s="426"/>
      <c r="X127" s="415"/>
      <c r="Y127" s="415"/>
      <c r="Z127" s="415"/>
      <c r="AA127" s="415"/>
      <c r="AB127" s="415"/>
      <c r="AC127" s="427"/>
      <c r="AD127" s="427"/>
      <c r="AE127" s="427"/>
      <c r="AF127" s="428"/>
      <c r="AG127" s="428"/>
      <c r="AH127" s="428"/>
      <c r="AI127" s="428"/>
      <c r="AJ127" s="428"/>
      <c r="AK127" s="428"/>
      <c r="AL127" s="428"/>
      <c r="AM127" s="428"/>
      <c r="AN127" s="428"/>
      <c r="AO127" s="428"/>
      <c r="AP127" s="428"/>
      <c r="AQ127" s="428"/>
      <c r="AR127" s="428"/>
      <c r="AS127" s="428"/>
      <c r="AT127" s="428"/>
      <c r="AU127" s="428"/>
      <c r="AV127" s="428"/>
      <c r="AW127" s="428"/>
      <c r="AX127" s="428"/>
      <c r="AY127" s="428"/>
      <c r="AZ127" s="428"/>
      <c r="BA127" s="428"/>
      <c r="BB127" s="428"/>
      <c r="BC127" s="428"/>
      <c r="BD127" s="428"/>
      <c r="BE127" s="428"/>
      <c r="BF127" s="428"/>
      <c r="BG127" s="428"/>
      <c r="BH127" s="428"/>
      <c r="BI127" s="428"/>
      <c r="BJ127" s="428"/>
      <c r="BK127" s="428"/>
      <c r="BL127" s="428"/>
      <c r="BM127" s="428"/>
      <c r="BN127" s="428"/>
    </row>
    <row r="128" spans="1:66" s="413" customFormat="1" ht="90" x14ac:dyDescent="0.2">
      <c r="A128" s="462" t="s">
        <v>456</v>
      </c>
      <c r="B128" s="466" t="s">
        <v>457</v>
      </c>
      <c r="C128" s="467" t="s">
        <v>458</v>
      </c>
      <c r="D128" s="466" t="s">
        <v>459</v>
      </c>
      <c r="E128" s="468"/>
      <c r="F128" s="468"/>
      <c r="G128" s="468">
        <v>1</v>
      </c>
      <c r="H128" s="468"/>
      <c r="I128" s="468"/>
      <c r="J128" s="468"/>
      <c r="K128" s="468"/>
      <c r="L128" s="468"/>
      <c r="M128" s="468"/>
      <c r="N128" s="468"/>
      <c r="O128" s="468"/>
      <c r="P128" s="468"/>
      <c r="Q128" s="423">
        <f t="shared" si="4"/>
        <v>1</v>
      </c>
      <c r="R128" s="424"/>
      <c r="S128" s="424"/>
      <c r="T128" s="424" t="s">
        <v>460</v>
      </c>
      <c r="U128" s="469"/>
      <c r="V128" s="429" t="s">
        <v>330</v>
      </c>
      <c r="W128" s="426"/>
      <c r="X128" s="415"/>
      <c r="Y128" s="415"/>
      <c r="Z128" s="415"/>
      <c r="AA128" s="415"/>
      <c r="AB128" s="415"/>
      <c r="AC128" s="427"/>
      <c r="AD128" s="427"/>
      <c r="AE128" s="427"/>
      <c r="AF128" s="428"/>
      <c r="AG128" s="428"/>
      <c r="AH128" s="428"/>
      <c r="AI128" s="428"/>
      <c r="AJ128" s="428"/>
      <c r="AK128" s="428"/>
      <c r="AL128" s="428"/>
      <c r="AM128" s="428"/>
      <c r="AN128" s="428"/>
      <c r="AO128" s="428"/>
      <c r="AP128" s="428"/>
      <c r="AQ128" s="428"/>
      <c r="AR128" s="428"/>
      <c r="AS128" s="428"/>
      <c r="AT128" s="428"/>
      <c r="AU128" s="428"/>
      <c r="AV128" s="428"/>
      <c r="AW128" s="428"/>
      <c r="AX128" s="428"/>
      <c r="AY128" s="428"/>
      <c r="AZ128" s="428"/>
      <c r="BA128" s="428"/>
      <c r="BB128" s="428"/>
      <c r="BC128" s="428"/>
      <c r="BD128" s="428"/>
      <c r="BE128" s="428"/>
      <c r="BF128" s="428"/>
      <c r="BG128" s="428"/>
      <c r="BH128" s="428"/>
      <c r="BI128" s="428"/>
      <c r="BJ128" s="428"/>
      <c r="BK128" s="428"/>
      <c r="BL128" s="428"/>
      <c r="BM128" s="428"/>
      <c r="BN128" s="428"/>
    </row>
    <row r="129" spans="1:66" s="413" customFormat="1" ht="90" x14ac:dyDescent="0.2">
      <c r="A129" s="462" t="s">
        <v>456</v>
      </c>
      <c r="B129" s="463" t="s">
        <v>457</v>
      </c>
      <c r="C129" s="464" t="s">
        <v>461</v>
      </c>
      <c r="D129" s="463" t="s">
        <v>462</v>
      </c>
      <c r="E129" s="465"/>
      <c r="F129" s="465"/>
      <c r="G129" s="465"/>
      <c r="H129" s="465">
        <v>1</v>
      </c>
      <c r="I129" s="465"/>
      <c r="J129" s="465"/>
      <c r="K129" s="465"/>
      <c r="L129" s="465"/>
      <c r="M129" s="465"/>
      <c r="N129" s="465"/>
      <c r="O129" s="465"/>
      <c r="P129" s="465"/>
      <c r="Q129" s="423">
        <f t="shared" si="4"/>
        <v>1</v>
      </c>
      <c r="R129" s="424" t="s">
        <v>131</v>
      </c>
      <c r="S129" s="424"/>
      <c r="T129" s="424" t="s">
        <v>463</v>
      </c>
      <c r="U129" s="462"/>
      <c r="V129" s="429" t="s">
        <v>330</v>
      </c>
      <c r="W129" s="426"/>
      <c r="X129" s="415"/>
      <c r="Y129" s="415"/>
      <c r="Z129" s="415"/>
      <c r="AA129" s="415"/>
      <c r="AB129" s="415"/>
      <c r="AC129" s="427"/>
      <c r="AD129" s="427"/>
      <c r="AE129" s="427"/>
      <c r="AF129" s="428"/>
      <c r="AG129" s="428"/>
      <c r="AH129" s="428"/>
      <c r="AI129" s="428"/>
      <c r="AJ129" s="428"/>
      <c r="AK129" s="428"/>
      <c r="AL129" s="428"/>
      <c r="AM129" s="428"/>
      <c r="AN129" s="428"/>
      <c r="AO129" s="428"/>
      <c r="AP129" s="428"/>
      <c r="AQ129" s="428"/>
      <c r="AR129" s="428"/>
      <c r="AS129" s="428"/>
      <c r="AT129" s="428"/>
      <c r="AU129" s="428"/>
      <c r="AV129" s="428"/>
      <c r="AW129" s="428"/>
      <c r="AX129" s="428"/>
      <c r="AY129" s="428"/>
      <c r="AZ129" s="428"/>
      <c r="BA129" s="428"/>
      <c r="BB129" s="428"/>
      <c r="BC129" s="428"/>
      <c r="BD129" s="428"/>
      <c r="BE129" s="428"/>
      <c r="BF129" s="428"/>
      <c r="BG129" s="428"/>
      <c r="BH129" s="428"/>
      <c r="BI129" s="428"/>
      <c r="BJ129" s="428"/>
      <c r="BK129" s="428"/>
      <c r="BL129" s="428"/>
      <c r="BM129" s="428"/>
      <c r="BN129" s="428"/>
    </row>
    <row r="130" spans="1:66" s="413" customFormat="1" ht="90" x14ac:dyDescent="0.2">
      <c r="A130" s="462" t="s">
        <v>456</v>
      </c>
      <c r="B130" s="466" t="s">
        <v>457</v>
      </c>
      <c r="C130" s="467" t="s">
        <v>464</v>
      </c>
      <c r="D130" s="466" t="s">
        <v>465</v>
      </c>
      <c r="E130" s="468"/>
      <c r="F130" s="468">
        <v>1</v>
      </c>
      <c r="G130" s="468"/>
      <c r="H130" s="468"/>
      <c r="I130" s="468"/>
      <c r="J130" s="468"/>
      <c r="K130" s="468"/>
      <c r="L130" s="468"/>
      <c r="M130" s="468"/>
      <c r="N130" s="468"/>
      <c r="O130" s="468"/>
      <c r="P130" s="468"/>
      <c r="Q130" s="423">
        <f t="shared" si="4"/>
        <v>1</v>
      </c>
      <c r="R130" s="424"/>
      <c r="S130" s="424"/>
      <c r="T130" s="424" t="s">
        <v>466</v>
      </c>
      <c r="U130" s="469"/>
      <c r="V130" s="429" t="s">
        <v>330</v>
      </c>
      <c r="W130" s="426"/>
      <c r="X130" s="415"/>
      <c r="Y130" s="415"/>
      <c r="Z130" s="415"/>
      <c r="AA130" s="415"/>
      <c r="AB130" s="415"/>
      <c r="AC130" s="427"/>
      <c r="AD130" s="427"/>
      <c r="AE130" s="427"/>
      <c r="AF130" s="428"/>
      <c r="AG130" s="428"/>
      <c r="AH130" s="428"/>
      <c r="AI130" s="428"/>
      <c r="AJ130" s="428"/>
      <c r="AK130" s="428"/>
      <c r="AL130" s="428"/>
      <c r="AM130" s="428"/>
      <c r="AN130" s="428"/>
      <c r="AO130" s="428"/>
      <c r="AP130" s="428"/>
      <c r="AQ130" s="428"/>
      <c r="AR130" s="428"/>
      <c r="AS130" s="428"/>
      <c r="AT130" s="428"/>
      <c r="AU130" s="428"/>
      <c r="AV130" s="428"/>
      <c r="AW130" s="428"/>
      <c r="AX130" s="428"/>
      <c r="AY130" s="428"/>
      <c r="AZ130" s="428"/>
      <c r="BA130" s="428"/>
      <c r="BB130" s="428"/>
      <c r="BC130" s="428"/>
      <c r="BD130" s="428"/>
      <c r="BE130" s="428"/>
      <c r="BF130" s="428"/>
      <c r="BG130" s="428"/>
      <c r="BH130" s="428"/>
      <c r="BI130" s="428"/>
      <c r="BJ130" s="428"/>
      <c r="BK130" s="428"/>
      <c r="BL130" s="428"/>
      <c r="BM130" s="428"/>
      <c r="BN130" s="428"/>
    </row>
    <row r="131" spans="1:66" s="413" customFormat="1" ht="90" x14ac:dyDescent="0.2">
      <c r="A131" s="462" t="s">
        <v>456</v>
      </c>
      <c r="B131" s="466" t="s">
        <v>457</v>
      </c>
      <c r="C131" s="467" t="s">
        <v>467</v>
      </c>
      <c r="D131" s="463" t="s">
        <v>468</v>
      </c>
      <c r="E131" s="465"/>
      <c r="F131" s="465"/>
      <c r="G131" s="465"/>
      <c r="H131" s="465"/>
      <c r="I131" s="465"/>
      <c r="J131" s="465"/>
      <c r="K131" s="465"/>
      <c r="L131" s="465"/>
      <c r="M131" s="465"/>
      <c r="N131" s="465"/>
      <c r="O131" s="465">
        <v>1</v>
      </c>
      <c r="P131" s="465"/>
      <c r="Q131" s="423">
        <f t="shared" si="4"/>
        <v>1</v>
      </c>
      <c r="R131" s="424"/>
      <c r="S131" s="424"/>
      <c r="T131" s="440" t="s">
        <v>469</v>
      </c>
      <c r="U131" s="462"/>
      <c r="V131" s="429" t="s">
        <v>330</v>
      </c>
      <c r="W131" s="426"/>
      <c r="X131" s="415"/>
      <c r="Y131" s="415"/>
      <c r="Z131" s="415"/>
      <c r="AA131" s="415"/>
      <c r="AB131" s="415"/>
      <c r="AC131" s="427"/>
      <c r="AD131" s="427"/>
      <c r="AE131" s="427"/>
      <c r="AF131" s="428"/>
      <c r="AG131" s="428"/>
      <c r="AH131" s="428"/>
      <c r="AI131" s="428"/>
      <c r="AJ131" s="428"/>
      <c r="AK131" s="428"/>
      <c r="AL131" s="428"/>
      <c r="AM131" s="428"/>
      <c r="AN131" s="428"/>
      <c r="AO131" s="428"/>
      <c r="AP131" s="428"/>
      <c r="AQ131" s="428"/>
      <c r="AR131" s="428"/>
      <c r="AS131" s="428"/>
      <c r="AT131" s="428"/>
      <c r="AU131" s="428"/>
      <c r="AV131" s="428"/>
      <c r="AW131" s="428"/>
      <c r="AX131" s="428"/>
      <c r="AY131" s="428"/>
      <c r="AZ131" s="428"/>
      <c r="BA131" s="428"/>
      <c r="BB131" s="428"/>
      <c r="BC131" s="428"/>
      <c r="BD131" s="428"/>
      <c r="BE131" s="428"/>
      <c r="BF131" s="428"/>
      <c r="BG131" s="428"/>
      <c r="BH131" s="428"/>
      <c r="BI131" s="428"/>
      <c r="BJ131" s="428"/>
      <c r="BK131" s="428"/>
      <c r="BL131" s="428"/>
      <c r="BM131" s="428"/>
      <c r="BN131" s="428"/>
    </row>
    <row r="132" spans="1:66" s="413" customFormat="1" ht="135" x14ac:dyDescent="0.2">
      <c r="A132" s="462" t="s">
        <v>470</v>
      </c>
      <c r="B132" s="466" t="s">
        <v>471</v>
      </c>
      <c r="C132" s="467" t="s">
        <v>472</v>
      </c>
      <c r="D132" s="466" t="s">
        <v>473</v>
      </c>
      <c r="E132" s="468">
        <v>1</v>
      </c>
      <c r="F132" s="468">
        <v>1</v>
      </c>
      <c r="G132" s="468">
        <v>1</v>
      </c>
      <c r="H132" s="468">
        <v>1</v>
      </c>
      <c r="I132" s="468">
        <v>1</v>
      </c>
      <c r="J132" s="468">
        <v>1</v>
      </c>
      <c r="K132" s="468">
        <v>1</v>
      </c>
      <c r="L132" s="468">
        <v>1</v>
      </c>
      <c r="M132" s="468">
        <v>1</v>
      </c>
      <c r="N132" s="468">
        <v>1</v>
      </c>
      <c r="O132" s="468">
        <v>1</v>
      </c>
      <c r="P132" s="468">
        <v>1</v>
      </c>
      <c r="Q132" s="423">
        <f t="shared" si="4"/>
        <v>12</v>
      </c>
      <c r="R132" s="441" t="s">
        <v>474</v>
      </c>
      <c r="S132" s="424"/>
      <c r="T132" s="424"/>
      <c r="U132" s="469"/>
      <c r="V132" s="429" t="s">
        <v>475</v>
      </c>
      <c r="W132" s="426"/>
      <c r="X132" s="415"/>
      <c r="Y132" s="415"/>
      <c r="Z132" s="415"/>
      <c r="AA132" s="415"/>
      <c r="AB132" s="415"/>
      <c r="AC132" s="427"/>
      <c r="AD132" s="427"/>
      <c r="AE132" s="427"/>
      <c r="AF132" s="428"/>
      <c r="AG132" s="428"/>
      <c r="AH132" s="428"/>
      <c r="AI132" s="428"/>
      <c r="AJ132" s="428"/>
      <c r="AK132" s="428"/>
      <c r="AL132" s="428"/>
      <c r="AM132" s="428"/>
      <c r="AN132" s="428"/>
      <c r="AO132" s="428"/>
      <c r="AP132" s="428"/>
      <c r="AQ132" s="428"/>
      <c r="AR132" s="428"/>
      <c r="AS132" s="428"/>
      <c r="AT132" s="428"/>
      <c r="AU132" s="428"/>
      <c r="AV132" s="428"/>
      <c r="AW132" s="428"/>
      <c r="AX132" s="428"/>
      <c r="AY132" s="428"/>
      <c r="AZ132" s="428"/>
      <c r="BA132" s="428"/>
      <c r="BB132" s="428"/>
      <c r="BC132" s="428"/>
      <c r="BD132" s="428"/>
      <c r="BE132" s="428"/>
      <c r="BF132" s="428"/>
      <c r="BG132" s="428"/>
      <c r="BH132" s="428"/>
      <c r="BI132" s="428"/>
      <c r="BJ132" s="428"/>
      <c r="BK132" s="428"/>
      <c r="BL132" s="428"/>
      <c r="BM132" s="428"/>
      <c r="BN132" s="428"/>
    </row>
    <row r="133" spans="1:66" s="413" customFormat="1" ht="135" x14ac:dyDescent="0.2">
      <c r="A133" s="462" t="s">
        <v>470</v>
      </c>
      <c r="B133" s="466" t="s">
        <v>471</v>
      </c>
      <c r="C133" s="467" t="s">
        <v>476</v>
      </c>
      <c r="D133" s="463" t="s">
        <v>477</v>
      </c>
      <c r="E133" s="465">
        <v>1</v>
      </c>
      <c r="F133" s="465"/>
      <c r="G133" s="465"/>
      <c r="H133" s="465"/>
      <c r="I133" s="465"/>
      <c r="J133" s="465"/>
      <c r="K133" s="465"/>
      <c r="L133" s="465"/>
      <c r="M133" s="465"/>
      <c r="N133" s="465"/>
      <c r="O133" s="465"/>
      <c r="P133" s="465"/>
      <c r="Q133" s="423">
        <f t="shared" si="4"/>
        <v>1</v>
      </c>
      <c r="R133" s="440" t="s">
        <v>478</v>
      </c>
      <c r="S133" s="424"/>
      <c r="T133" s="424"/>
      <c r="U133" s="462"/>
      <c r="V133" s="429" t="s">
        <v>475</v>
      </c>
      <c r="W133" s="426"/>
      <c r="X133" s="415"/>
      <c r="Y133" s="415"/>
      <c r="Z133" s="415"/>
      <c r="AA133" s="415"/>
      <c r="AB133" s="415"/>
      <c r="AC133" s="427"/>
      <c r="AD133" s="427"/>
      <c r="AE133" s="427"/>
      <c r="AF133" s="428"/>
      <c r="AG133" s="428"/>
      <c r="AH133" s="428"/>
      <c r="AI133" s="428"/>
      <c r="AJ133" s="428"/>
      <c r="AK133" s="428"/>
      <c r="AL133" s="428"/>
      <c r="AM133" s="428"/>
      <c r="AN133" s="428"/>
      <c r="AO133" s="428"/>
      <c r="AP133" s="428"/>
      <c r="AQ133" s="428"/>
      <c r="AR133" s="428"/>
      <c r="AS133" s="428"/>
      <c r="AT133" s="428"/>
      <c r="AU133" s="428"/>
      <c r="AV133" s="428"/>
      <c r="AW133" s="428"/>
      <c r="AX133" s="428"/>
      <c r="AY133" s="428"/>
      <c r="AZ133" s="428"/>
      <c r="BA133" s="428"/>
      <c r="BB133" s="428"/>
      <c r="BC133" s="428"/>
      <c r="BD133" s="428"/>
      <c r="BE133" s="428"/>
      <c r="BF133" s="428"/>
      <c r="BG133" s="428"/>
      <c r="BH133" s="428"/>
      <c r="BI133" s="428"/>
      <c r="BJ133" s="428"/>
      <c r="BK133" s="428"/>
      <c r="BL133" s="428"/>
      <c r="BM133" s="428"/>
      <c r="BN133" s="428"/>
    </row>
    <row r="134" spans="1:66" s="413" customFormat="1" ht="135" x14ac:dyDescent="0.2">
      <c r="A134" s="462" t="s">
        <v>470</v>
      </c>
      <c r="B134" s="466" t="s">
        <v>471</v>
      </c>
      <c r="C134" s="467" t="s">
        <v>479</v>
      </c>
      <c r="D134" s="466" t="s">
        <v>480</v>
      </c>
      <c r="E134" s="468"/>
      <c r="F134" s="468">
        <v>1</v>
      </c>
      <c r="G134" s="468"/>
      <c r="H134" s="468"/>
      <c r="I134" s="468">
        <v>1</v>
      </c>
      <c r="J134" s="468"/>
      <c r="K134" s="468"/>
      <c r="L134" s="468">
        <v>1</v>
      </c>
      <c r="M134" s="468"/>
      <c r="N134" s="468"/>
      <c r="O134" s="468">
        <v>1</v>
      </c>
      <c r="P134" s="468"/>
      <c r="Q134" s="423">
        <f t="shared" si="4"/>
        <v>4</v>
      </c>
      <c r="R134" s="440" t="s">
        <v>101</v>
      </c>
      <c r="S134" s="424"/>
      <c r="T134" s="424"/>
      <c r="U134" s="469"/>
      <c r="V134" s="429" t="s">
        <v>475</v>
      </c>
      <c r="W134" s="426"/>
      <c r="X134" s="415"/>
      <c r="Y134" s="415"/>
      <c r="Z134" s="415"/>
      <c r="AA134" s="415"/>
      <c r="AB134" s="415"/>
      <c r="AC134" s="427"/>
      <c r="AD134" s="427"/>
      <c r="AE134" s="427"/>
      <c r="AF134" s="428"/>
      <c r="AG134" s="428"/>
      <c r="AH134" s="428"/>
      <c r="AI134" s="428"/>
      <c r="AJ134" s="428"/>
      <c r="AK134" s="428"/>
      <c r="AL134" s="428"/>
      <c r="AM134" s="428"/>
      <c r="AN134" s="428"/>
      <c r="AO134" s="428"/>
      <c r="AP134" s="428"/>
      <c r="AQ134" s="428"/>
      <c r="AR134" s="428"/>
      <c r="AS134" s="428"/>
      <c r="AT134" s="428"/>
      <c r="AU134" s="428"/>
      <c r="AV134" s="428"/>
      <c r="AW134" s="428"/>
      <c r="AX134" s="428"/>
      <c r="AY134" s="428"/>
      <c r="AZ134" s="428"/>
      <c r="BA134" s="428"/>
      <c r="BB134" s="428"/>
      <c r="BC134" s="428"/>
      <c r="BD134" s="428"/>
      <c r="BE134" s="428"/>
      <c r="BF134" s="428"/>
      <c r="BG134" s="428"/>
      <c r="BH134" s="428"/>
      <c r="BI134" s="428"/>
      <c r="BJ134" s="428"/>
      <c r="BK134" s="428"/>
      <c r="BL134" s="428"/>
      <c r="BM134" s="428"/>
      <c r="BN134" s="428"/>
    </row>
    <row r="135" spans="1:66" s="413" customFormat="1" ht="135" x14ac:dyDescent="0.2">
      <c r="A135" s="462" t="s">
        <v>470</v>
      </c>
      <c r="B135" s="466" t="s">
        <v>471</v>
      </c>
      <c r="C135" s="467" t="s">
        <v>481</v>
      </c>
      <c r="D135" s="463" t="s">
        <v>482</v>
      </c>
      <c r="E135" s="465">
        <v>1</v>
      </c>
      <c r="F135" s="465">
        <v>1</v>
      </c>
      <c r="G135" s="465">
        <v>1</v>
      </c>
      <c r="H135" s="465">
        <v>1</v>
      </c>
      <c r="I135" s="465">
        <v>1</v>
      </c>
      <c r="J135" s="465">
        <v>1</v>
      </c>
      <c r="K135" s="465">
        <v>1</v>
      </c>
      <c r="L135" s="465">
        <v>1</v>
      </c>
      <c r="M135" s="465">
        <v>1</v>
      </c>
      <c r="N135" s="465">
        <v>1</v>
      </c>
      <c r="O135" s="465">
        <v>1</v>
      </c>
      <c r="P135" s="465">
        <v>1</v>
      </c>
      <c r="Q135" s="423">
        <f t="shared" si="4"/>
        <v>12</v>
      </c>
      <c r="R135" s="440" t="s">
        <v>101</v>
      </c>
      <c r="S135" s="424"/>
      <c r="T135" s="424"/>
      <c r="U135" s="462"/>
      <c r="V135" s="429" t="s">
        <v>475</v>
      </c>
      <c r="W135" s="426"/>
      <c r="X135" s="415"/>
      <c r="Y135" s="415"/>
      <c r="Z135" s="415"/>
      <c r="AA135" s="415"/>
      <c r="AB135" s="415"/>
      <c r="AC135" s="427"/>
      <c r="AD135" s="427"/>
      <c r="AE135" s="427"/>
      <c r="AF135" s="428"/>
      <c r="AG135" s="428"/>
      <c r="AH135" s="428"/>
      <c r="AI135" s="428"/>
      <c r="AJ135" s="428"/>
      <c r="AK135" s="428"/>
      <c r="AL135" s="428"/>
      <c r="AM135" s="428"/>
      <c r="AN135" s="428"/>
      <c r="AO135" s="428"/>
      <c r="AP135" s="428"/>
      <c r="AQ135" s="428"/>
      <c r="AR135" s="428"/>
      <c r="AS135" s="428"/>
      <c r="AT135" s="428"/>
      <c r="AU135" s="428"/>
      <c r="AV135" s="428"/>
      <c r="AW135" s="428"/>
      <c r="AX135" s="428"/>
      <c r="AY135" s="428"/>
      <c r="AZ135" s="428"/>
      <c r="BA135" s="428"/>
      <c r="BB135" s="428"/>
      <c r="BC135" s="428"/>
      <c r="BD135" s="428"/>
      <c r="BE135" s="428"/>
      <c r="BF135" s="428"/>
      <c r="BG135" s="428"/>
      <c r="BH135" s="428"/>
      <c r="BI135" s="428"/>
      <c r="BJ135" s="428"/>
      <c r="BK135" s="428"/>
      <c r="BL135" s="428"/>
      <c r="BM135" s="428"/>
      <c r="BN135" s="428"/>
    </row>
    <row r="136" spans="1:66" s="413" customFormat="1" ht="135" x14ac:dyDescent="0.2">
      <c r="A136" s="462" t="s">
        <v>470</v>
      </c>
      <c r="B136" s="466" t="s">
        <v>471</v>
      </c>
      <c r="C136" s="467" t="s">
        <v>483</v>
      </c>
      <c r="D136" s="466" t="s">
        <v>484</v>
      </c>
      <c r="E136" s="468">
        <v>1</v>
      </c>
      <c r="F136" s="468">
        <v>1</v>
      </c>
      <c r="G136" s="468">
        <v>1</v>
      </c>
      <c r="H136" s="468">
        <v>1</v>
      </c>
      <c r="I136" s="468">
        <v>1</v>
      </c>
      <c r="J136" s="468">
        <v>1</v>
      </c>
      <c r="K136" s="468">
        <v>1</v>
      </c>
      <c r="L136" s="468">
        <v>1</v>
      </c>
      <c r="M136" s="468">
        <v>1</v>
      </c>
      <c r="N136" s="468">
        <v>1</v>
      </c>
      <c r="O136" s="468">
        <v>1</v>
      </c>
      <c r="P136" s="468">
        <v>1</v>
      </c>
      <c r="Q136" s="423">
        <f t="shared" si="4"/>
        <v>12</v>
      </c>
      <c r="R136" s="440" t="s">
        <v>101</v>
      </c>
      <c r="S136" s="424"/>
      <c r="T136" s="424"/>
      <c r="U136" s="469" t="s">
        <v>485</v>
      </c>
      <c r="V136" s="429" t="s">
        <v>475</v>
      </c>
      <c r="W136" s="426"/>
      <c r="X136" s="415"/>
      <c r="Y136" s="415"/>
      <c r="Z136" s="415"/>
      <c r="AA136" s="415"/>
      <c r="AB136" s="415"/>
      <c r="AC136" s="427"/>
      <c r="AD136" s="427"/>
      <c r="AE136" s="427"/>
      <c r="AF136" s="428"/>
      <c r="AG136" s="428"/>
      <c r="AH136" s="428"/>
      <c r="AI136" s="428"/>
      <c r="AJ136" s="428"/>
      <c r="AK136" s="428"/>
      <c r="AL136" s="428"/>
      <c r="AM136" s="428"/>
      <c r="AN136" s="428"/>
      <c r="AO136" s="428"/>
      <c r="AP136" s="428"/>
      <c r="AQ136" s="428"/>
      <c r="AR136" s="428"/>
      <c r="AS136" s="428"/>
      <c r="AT136" s="428"/>
      <c r="AU136" s="428"/>
      <c r="AV136" s="428"/>
      <c r="AW136" s="428"/>
      <c r="AX136" s="428"/>
      <c r="AY136" s="428"/>
      <c r="AZ136" s="428"/>
      <c r="BA136" s="428"/>
      <c r="BB136" s="428"/>
      <c r="BC136" s="428"/>
      <c r="BD136" s="428"/>
      <c r="BE136" s="428"/>
      <c r="BF136" s="428"/>
      <c r="BG136" s="428"/>
      <c r="BH136" s="428"/>
      <c r="BI136" s="428"/>
      <c r="BJ136" s="428"/>
      <c r="BK136" s="428"/>
      <c r="BL136" s="428"/>
      <c r="BM136" s="428"/>
      <c r="BN136" s="428"/>
    </row>
    <row r="137" spans="1:66" s="413" customFormat="1" ht="135" x14ac:dyDescent="0.2">
      <c r="A137" s="462" t="s">
        <v>470</v>
      </c>
      <c r="B137" s="466" t="s">
        <v>471</v>
      </c>
      <c r="C137" s="467" t="s">
        <v>486</v>
      </c>
      <c r="D137" s="463" t="s">
        <v>487</v>
      </c>
      <c r="E137" s="465"/>
      <c r="F137" s="465"/>
      <c r="G137" s="465">
        <v>1</v>
      </c>
      <c r="H137" s="465"/>
      <c r="I137" s="465"/>
      <c r="J137" s="465">
        <v>1</v>
      </c>
      <c r="K137" s="465"/>
      <c r="L137" s="465"/>
      <c r="M137" s="465">
        <v>1</v>
      </c>
      <c r="N137" s="465"/>
      <c r="O137" s="465"/>
      <c r="P137" s="465">
        <v>1</v>
      </c>
      <c r="Q137" s="423">
        <f t="shared" si="4"/>
        <v>4</v>
      </c>
      <c r="R137" s="440" t="s">
        <v>101</v>
      </c>
      <c r="S137" s="424"/>
      <c r="T137" s="424"/>
      <c r="U137" s="462" t="s">
        <v>488</v>
      </c>
      <c r="V137" s="429" t="s">
        <v>475</v>
      </c>
      <c r="W137" s="426"/>
      <c r="X137" s="415"/>
      <c r="Y137" s="415"/>
      <c r="Z137" s="415"/>
      <c r="AA137" s="415"/>
      <c r="AB137" s="415"/>
      <c r="AC137" s="427"/>
      <c r="AD137" s="427"/>
      <c r="AE137" s="427"/>
      <c r="AF137" s="428"/>
      <c r="AG137" s="428"/>
      <c r="AH137" s="428"/>
      <c r="AI137" s="428"/>
      <c r="AJ137" s="428"/>
      <c r="AK137" s="428"/>
      <c r="AL137" s="428"/>
      <c r="AM137" s="428"/>
      <c r="AN137" s="428"/>
      <c r="AO137" s="428"/>
      <c r="AP137" s="428"/>
      <c r="AQ137" s="428"/>
      <c r="AR137" s="428"/>
      <c r="AS137" s="428"/>
      <c r="AT137" s="428"/>
      <c r="AU137" s="428"/>
      <c r="AV137" s="428"/>
      <c r="AW137" s="428"/>
      <c r="AX137" s="428"/>
      <c r="AY137" s="428"/>
      <c r="AZ137" s="428"/>
      <c r="BA137" s="428"/>
      <c r="BB137" s="428"/>
      <c r="BC137" s="428"/>
      <c r="BD137" s="428"/>
      <c r="BE137" s="428"/>
      <c r="BF137" s="428"/>
      <c r="BG137" s="428"/>
      <c r="BH137" s="428"/>
      <c r="BI137" s="428"/>
      <c r="BJ137" s="428"/>
      <c r="BK137" s="428"/>
      <c r="BL137" s="428"/>
      <c r="BM137" s="428"/>
      <c r="BN137" s="428"/>
    </row>
    <row r="138" spans="1:66" s="252" customFormat="1" x14ac:dyDescent="0.25">
      <c r="A138" s="462"/>
      <c r="B138" s="474"/>
      <c r="C138" s="475"/>
      <c r="D138" s="476"/>
      <c r="E138" s="475">
        <f t="shared" ref="E138:Q138" si="5">SUM(E12:E137)</f>
        <v>27</v>
      </c>
      <c r="F138" s="475">
        <f t="shared" si="5"/>
        <v>27</v>
      </c>
      <c r="G138" s="475">
        <f t="shared" si="5"/>
        <v>51</v>
      </c>
      <c r="H138" s="475">
        <f t="shared" si="5"/>
        <v>35</v>
      </c>
      <c r="I138" s="475">
        <f t="shared" si="5"/>
        <v>30</v>
      </c>
      <c r="J138" s="475">
        <f t="shared" si="5"/>
        <v>53</v>
      </c>
      <c r="K138" s="475">
        <f t="shared" si="5"/>
        <v>30</v>
      </c>
      <c r="L138" s="475">
        <f t="shared" si="5"/>
        <v>32</v>
      </c>
      <c r="M138" s="475">
        <f t="shared" si="5"/>
        <v>56</v>
      </c>
      <c r="N138" s="475">
        <f t="shared" si="5"/>
        <v>29</v>
      </c>
      <c r="O138" s="475">
        <f t="shared" si="5"/>
        <v>31</v>
      </c>
      <c r="P138" s="475">
        <f t="shared" si="5"/>
        <v>47</v>
      </c>
      <c r="Q138" s="397">
        <f t="shared" si="5"/>
        <v>441</v>
      </c>
      <c r="R138" s="424"/>
      <c r="S138" s="424"/>
      <c r="T138" s="424"/>
      <c r="U138" s="471"/>
      <c r="V138" s="389"/>
      <c r="W138" s="409"/>
      <c r="X138" s="395"/>
      <c r="Y138" s="395"/>
      <c r="Z138" s="395"/>
      <c r="AA138" s="395"/>
      <c r="AB138" s="395"/>
      <c r="AC138" s="253"/>
      <c r="AD138" s="253"/>
      <c r="AE138" s="253"/>
      <c r="AF138" s="274"/>
      <c r="AG138" s="274"/>
      <c r="AH138" s="274"/>
      <c r="AI138" s="274"/>
      <c r="AJ138" s="274"/>
      <c r="AK138" s="274"/>
      <c r="AL138" s="274"/>
      <c r="AM138" s="274"/>
      <c r="AN138" s="274"/>
      <c r="AO138" s="274"/>
      <c r="AP138" s="274"/>
      <c r="AQ138" s="274"/>
      <c r="AR138" s="274"/>
      <c r="AS138" s="274"/>
      <c r="AT138" s="274"/>
      <c r="AU138" s="274"/>
      <c r="AV138" s="274"/>
      <c r="AW138" s="274"/>
      <c r="AX138" s="274"/>
      <c r="AY138" s="274"/>
      <c r="AZ138" s="274"/>
      <c r="BA138" s="274"/>
      <c r="BB138" s="274"/>
      <c r="BC138" s="274"/>
      <c r="BD138" s="274"/>
      <c r="BE138" s="274"/>
      <c r="BF138" s="274"/>
      <c r="BG138" s="274"/>
      <c r="BH138" s="274"/>
      <c r="BI138" s="274"/>
      <c r="BJ138" s="274"/>
      <c r="BK138" s="274"/>
      <c r="BL138" s="274"/>
      <c r="BM138" s="274"/>
      <c r="BN138" s="274"/>
    </row>
    <row r="139" spans="1:66" s="252" customFormat="1" x14ac:dyDescent="0.25">
      <c r="A139" s="413"/>
      <c r="B139" s="453"/>
      <c r="C139" s="411"/>
      <c r="D139" s="411"/>
      <c r="E139" s="448"/>
      <c r="F139" s="448"/>
      <c r="G139" s="448"/>
      <c r="H139" s="448"/>
      <c r="I139" s="448"/>
      <c r="J139" s="448"/>
      <c r="K139" s="448"/>
      <c r="L139" s="448"/>
      <c r="M139" s="448"/>
      <c r="N139" s="417"/>
      <c r="O139" s="417"/>
      <c r="P139" s="417"/>
      <c r="Q139" s="399"/>
      <c r="R139" s="399"/>
      <c r="S139" s="399"/>
      <c r="T139" s="399"/>
      <c r="U139" s="459"/>
      <c r="V139" s="396"/>
      <c r="W139" s="394"/>
      <c r="X139" s="395"/>
      <c r="Y139" s="395"/>
      <c r="Z139" s="395"/>
      <c r="AA139" s="395"/>
      <c r="AB139" s="395"/>
      <c r="AC139" s="253"/>
      <c r="AD139" s="253"/>
      <c r="AE139" s="253"/>
      <c r="AF139" s="274"/>
      <c r="AG139" s="274"/>
      <c r="AH139" s="274"/>
      <c r="AI139" s="274"/>
      <c r="AJ139" s="274"/>
      <c r="AK139" s="274"/>
      <c r="AL139" s="274"/>
      <c r="AM139" s="274"/>
      <c r="AN139" s="274"/>
      <c r="AO139" s="274"/>
      <c r="AP139" s="274"/>
      <c r="AQ139" s="274"/>
      <c r="AR139" s="274"/>
      <c r="AS139" s="274"/>
      <c r="AT139" s="274"/>
      <c r="AU139" s="274"/>
      <c r="AV139" s="274"/>
      <c r="AW139" s="274"/>
      <c r="AX139" s="274"/>
      <c r="AY139" s="274"/>
      <c r="AZ139" s="274"/>
      <c r="BA139" s="274"/>
      <c r="BB139" s="274"/>
      <c r="BC139" s="274"/>
      <c r="BD139" s="274"/>
      <c r="BE139" s="274"/>
      <c r="BF139" s="274"/>
      <c r="BG139" s="274"/>
      <c r="BH139" s="274"/>
      <c r="BI139" s="274"/>
      <c r="BJ139" s="274"/>
      <c r="BK139" s="274"/>
      <c r="BL139" s="274"/>
      <c r="BM139" s="274"/>
      <c r="BN139" s="274"/>
    </row>
    <row r="140" spans="1:66" s="252" customFormat="1" x14ac:dyDescent="0.25">
      <c r="A140" s="413"/>
      <c r="B140" s="453"/>
      <c r="C140" s="411"/>
      <c r="D140" s="411"/>
      <c r="E140" s="448"/>
      <c r="F140" s="448"/>
      <c r="G140" s="448"/>
      <c r="H140" s="448"/>
      <c r="I140" s="448"/>
      <c r="J140" s="448"/>
      <c r="K140" s="448"/>
      <c r="L140" s="448"/>
      <c r="M140" s="448"/>
      <c r="N140" s="417"/>
      <c r="O140" s="417"/>
      <c r="P140" s="417"/>
      <c r="Q140" s="399"/>
      <c r="R140" s="399"/>
      <c r="S140" s="399"/>
      <c r="T140" s="399"/>
      <c r="U140" s="459"/>
      <c r="V140" s="396"/>
      <c r="W140" s="394"/>
      <c r="X140" s="395"/>
      <c r="Y140" s="395"/>
      <c r="Z140" s="395"/>
      <c r="AA140" s="395"/>
      <c r="AB140" s="395"/>
      <c r="AC140" s="253"/>
      <c r="AD140" s="253"/>
      <c r="AE140" s="253"/>
      <c r="AF140" s="274"/>
      <c r="AG140" s="274"/>
      <c r="AH140" s="274"/>
      <c r="AI140" s="274"/>
      <c r="AJ140" s="274"/>
      <c r="AK140" s="274"/>
      <c r="AL140" s="274"/>
      <c r="AM140" s="274"/>
      <c r="AN140" s="274"/>
      <c r="AO140" s="274"/>
      <c r="AP140" s="274"/>
      <c r="AQ140" s="274"/>
      <c r="AR140" s="274"/>
      <c r="AS140" s="274"/>
      <c r="AT140" s="274"/>
      <c r="AU140" s="274"/>
      <c r="AV140" s="274"/>
      <c r="AW140" s="274"/>
      <c r="AX140" s="274"/>
      <c r="AY140" s="274"/>
      <c r="AZ140" s="274"/>
      <c r="BA140" s="274"/>
      <c r="BB140" s="274"/>
      <c r="BC140" s="274"/>
      <c r="BD140" s="274"/>
      <c r="BE140" s="274"/>
      <c r="BF140" s="274"/>
      <c r="BG140" s="274"/>
      <c r="BH140" s="274"/>
      <c r="BI140" s="274"/>
      <c r="BJ140" s="274"/>
      <c r="BK140" s="274"/>
      <c r="BL140" s="274"/>
      <c r="BM140" s="274"/>
      <c r="BN140" s="274"/>
    </row>
    <row r="141" spans="1:66" s="252" customFormat="1" x14ac:dyDescent="0.25">
      <c r="A141" s="413"/>
      <c r="B141" s="453"/>
      <c r="C141" s="411"/>
      <c r="D141" s="411"/>
      <c r="E141" s="448"/>
      <c r="F141" s="448"/>
      <c r="G141" s="448"/>
      <c r="H141" s="448"/>
      <c r="I141" s="448"/>
      <c r="J141" s="448"/>
      <c r="K141" s="448"/>
      <c r="L141" s="448"/>
      <c r="M141" s="448"/>
      <c r="N141" s="417"/>
      <c r="O141" s="417"/>
      <c r="P141" s="417"/>
      <c r="Q141" s="399"/>
      <c r="R141" s="399"/>
      <c r="S141" s="399"/>
      <c r="T141" s="399"/>
      <c r="U141" s="459"/>
      <c r="V141" s="396"/>
      <c r="W141" s="394"/>
      <c r="X141" s="395"/>
      <c r="Y141" s="395"/>
      <c r="Z141" s="395"/>
      <c r="AA141" s="395"/>
      <c r="AB141" s="395"/>
      <c r="AC141" s="253"/>
      <c r="AD141" s="253"/>
      <c r="AE141" s="253"/>
      <c r="AF141" s="274"/>
      <c r="AG141" s="274"/>
      <c r="AH141" s="274"/>
      <c r="AI141" s="274"/>
      <c r="AJ141" s="274"/>
      <c r="AK141" s="274"/>
      <c r="AL141" s="274"/>
      <c r="AM141" s="274"/>
      <c r="AN141" s="274"/>
      <c r="AO141" s="274"/>
      <c r="AP141" s="274"/>
      <c r="AQ141" s="274"/>
      <c r="AR141" s="274"/>
      <c r="AS141" s="274"/>
      <c r="AT141" s="274"/>
      <c r="AU141" s="274"/>
      <c r="AV141" s="274"/>
      <c r="AW141" s="274"/>
      <c r="AX141" s="274"/>
      <c r="AY141" s="274"/>
      <c r="AZ141" s="274"/>
      <c r="BA141" s="274"/>
      <c r="BB141" s="274"/>
      <c r="BC141" s="274"/>
      <c r="BD141" s="274"/>
      <c r="BE141" s="274"/>
      <c r="BF141" s="274"/>
      <c r="BG141" s="274"/>
      <c r="BH141" s="274"/>
      <c r="BI141" s="274"/>
      <c r="BJ141" s="274"/>
      <c r="BK141" s="274"/>
      <c r="BL141" s="274"/>
      <c r="BM141" s="274"/>
      <c r="BN141" s="274"/>
    </row>
    <row r="142" spans="1:66" s="252" customFormat="1" x14ac:dyDescent="0.25">
      <c r="A142" s="413"/>
      <c r="B142" s="453"/>
      <c r="C142" s="411"/>
      <c r="D142" s="411"/>
      <c r="E142" s="448"/>
      <c r="F142" s="448"/>
      <c r="G142" s="448"/>
      <c r="H142" s="448"/>
      <c r="I142" s="448"/>
      <c r="J142" s="448"/>
      <c r="K142" s="448"/>
      <c r="L142" s="448"/>
      <c r="M142" s="448"/>
      <c r="N142" s="417"/>
      <c r="O142" s="417"/>
      <c r="P142" s="417"/>
      <c r="Q142" s="399"/>
      <c r="R142" s="399"/>
      <c r="S142" s="399"/>
      <c r="T142" s="399"/>
      <c r="U142" s="459"/>
      <c r="V142" s="396"/>
      <c r="W142" s="394"/>
      <c r="X142" s="395"/>
      <c r="Y142" s="395"/>
      <c r="Z142" s="395"/>
      <c r="AA142" s="395"/>
      <c r="AB142" s="395"/>
      <c r="AC142" s="253"/>
      <c r="AD142" s="253"/>
      <c r="AE142" s="253"/>
      <c r="AF142" s="274"/>
      <c r="AG142" s="274"/>
      <c r="AH142" s="274"/>
      <c r="AI142" s="274"/>
      <c r="AJ142" s="274"/>
      <c r="AK142" s="274"/>
      <c r="AL142" s="274"/>
      <c r="AM142" s="274"/>
      <c r="AN142" s="274"/>
      <c r="AO142" s="274"/>
      <c r="AP142" s="274"/>
      <c r="AQ142" s="274"/>
      <c r="AR142" s="274"/>
      <c r="AS142" s="274"/>
      <c r="AT142" s="274"/>
      <c r="AU142" s="274"/>
      <c r="AV142" s="274"/>
      <c r="AW142" s="274"/>
      <c r="AX142" s="274"/>
      <c r="AY142" s="274"/>
      <c r="AZ142" s="274"/>
      <c r="BA142" s="274"/>
      <c r="BB142" s="274"/>
      <c r="BC142" s="274"/>
      <c r="BD142" s="274"/>
      <c r="BE142" s="274"/>
      <c r="BF142" s="274"/>
      <c r="BG142" s="274"/>
      <c r="BH142" s="274"/>
      <c r="BI142" s="274"/>
      <c r="BJ142" s="274"/>
      <c r="BK142" s="274"/>
      <c r="BL142" s="274"/>
      <c r="BM142" s="274"/>
      <c r="BN142" s="274"/>
    </row>
    <row r="143" spans="1:66" s="252" customFormat="1" x14ac:dyDescent="0.25">
      <c r="A143" s="413"/>
      <c r="B143" s="453"/>
      <c r="C143" s="411"/>
      <c r="D143" s="411"/>
      <c r="E143" s="448"/>
      <c r="F143" s="448"/>
      <c r="G143" s="448"/>
      <c r="H143" s="448"/>
      <c r="I143" s="448"/>
      <c r="J143" s="448"/>
      <c r="K143" s="448"/>
      <c r="L143" s="448"/>
      <c r="M143" s="448"/>
      <c r="N143" s="417"/>
      <c r="O143" s="417"/>
      <c r="P143" s="417"/>
      <c r="Q143" s="399"/>
      <c r="R143" s="399"/>
      <c r="S143" s="399"/>
      <c r="T143" s="399"/>
      <c r="U143" s="459"/>
      <c r="V143" s="396"/>
      <c r="W143" s="394"/>
      <c r="X143" s="395"/>
      <c r="Y143" s="395"/>
      <c r="Z143" s="395"/>
      <c r="AA143" s="395"/>
      <c r="AB143" s="395"/>
      <c r="AC143" s="253"/>
      <c r="AD143" s="253"/>
      <c r="AE143" s="253"/>
      <c r="AF143" s="274"/>
      <c r="AG143" s="274"/>
      <c r="AH143" s="274"/>
      <c r="AI143" s="274"/>
      <c r="AJ143" s="274"/>
      <c r="AK143" s="274"/>
      <c r="AL143" s="274"/>
      <c r="AM143" s="274"/>
      <c r="AN143" s="274"/>
      <c r="AO143" s="274"/>
      <c r="AP143" s="274"/>
      <c r="AQ143" s="274"/>
      <c r="AR143" s="274"/>
      <c r="AS143" s="274"/>
      <c r="AT143" s="274"/>
      <c r="AU143" s="274"/>
      <c r="AV143" s="274"/>
      <c r="AW143" s="274"/>
      <c r="AX143" s="274"/>
      <c r="AY143" s="274"/>
      <c r="AZ143" s="274"/>
      <c r="BA143" s="274"/>
      <c r="BB143" s="274"/>
      <c r="BC143" s="274"/>
      <c r="BD143" s="274"/>
      <c r="BE143" s="274"/>
      <c r="BF143" s="274"/>
      <c r="BG143" s="274"/>
      <c r="BH143" s="274"/>
      <c r="BI143" s="274"/>
      <c r="BJ143" s="274"/>
      <c r="BK143" s="274"/>
      <c r="BL143" s="274"/>
      <c r="BM143" s="274"/>
      <c r="BN143" s="274"/>
    </row>
    <row r="144" spans="1:66" s="252" customFormat="1" x14ac:dyDescent="0.25">
      <c r="A144" s="413"/>
      <c r="B144" s="453"/>
      <c r="C144" s="411"/>
      <c r="D144" s="411"/>
      <c r="E144" s="448"/>
      <c r="F144" s="448"/>
      <c r="G144" s="448"/>
      <c r="H144" s="448"/>
      <c r="I144" s="448"/>
      <c r="J144" s="448"/>
      <c r="K144" s="448"/>
      <c r="L144" s="448"/>
      <c r="M144" s="448"/>
      <c r="N144" s="417"/>
      <c r="O144" s="417"/>
      <c r="P144" s="417"/>
      <c r="Q144" s="399"/>
      <c r="R144" s="399"/>
      <c r="S144" s="399"/>
      <c r="T144" s="399"/>
      <c r="U144" s="459"/>
      <c r="V144" s="396"/>
      <c r="W144" s="394"/>
      <c r="X144" s="395"/>
      <c r="Y144" s="395"/>
      <c r="Z144" s="395"/>
      <c r="AA144" s="395"/>
      <c r="AB144" s="395"/>
      <c r="AC144" s="253"/>
      <c r="AD144" s="253"/>
      <c r="AE144" s="253"/>
      <c r="AF144" s="274"/>
      <c r="AG144" s="274"/>
      <c r="AH144" s="274"/>
      <c r="AI144" s="274"/>
      <c r="AJ144" s="274"/>
      <c r="AK144" s="274"/>
      <c r="AL144" s="274"/>
      <c r="AM144" s="274"/>
      <c r="AN144" s="274"/>
      <c r="AO144" s="274"/>
      <c r="AP144" s="274"/>
      <c r="AQ144" s="274"/>
      <c r="AR144" s="274"/>
      <c r="AS144" s="274"/>
      <c r="AT144" s="274"/>
      <c r="AU144" s="274"/>
      <c r="AV144" s="274"/>
      <c r="AW144" s="274"/>
      <c r="AX144" s="274"/>
      <c r="AY144" s="274"/>
      <c r="AZ144" s="274"/>
      <c r="BA144" s="274"/>
      <c r="BB144" s="274"/>
      <c r="BC144" s="274"/>
      <c r="BD144" s="274"/>
      <c r="BE144" s="274"/>
      <c r="BF144" s="274"/>
      <c r="BG144" s="274"/>
      <c r="BH144" s="274"/>
      <c r="BI144" s="274"/>
      <c r="BJ144" s="274"/>
      <c r="BK144" s="274"/>
      <c r="BL144" s="274"/>
      <c r="BM144" s="274"/>
      <c r="BN144" s="274"/>
    </row>
    <row r="145" spans="1:66" s="252" customFormat="1" x14ac:dyDescent="0.25">
      <c r="A145" s="413"/>
      <c r="B145" s="453"/>
      <c r="C145" s="411"/>
      <c r="D145" s="411"/>
      <c r="E145" s="448"/>
      <c r="F145" s="448"/>
      <c r="G145" s="448"/>
      <c r="H145" s="448"/>
      <c r="I145" s="448"/>
      <c r="J145" s="448"/>
      <c r="K145" s="448"/>
      <c r="L145" s="448"/>
      <c r="M145" s="448"/>
      <c r="N145" s="417"/>
      <c r="O145" s="417"/>
      <c r="P145" s="417"/>
      <c r="Q145" s="399"/>
      <c r="R145" s="399"/>
      <c r="S145" s="399"/>
      <c r="T145" s="399"/>
      <c r="U145" s="459"/>
      <c r="V145" s="396"/>
      <c r="W145" s="394"/>
      <c r="X145" s="395"/>
      <c r="Y145" s="395"/>
      <c r="Z145" s="395"/>
      <c r="AA145" s="395"/>
      <c r="AB145" s="395"/>
      <c r="AC145" s="253"/>
      <c r="AD145" s="253"/>
      <c r="AE145" s="253"/>
      <c r="AF145" s="274"/>
      <c r="AG145" s="274"/>
      <c r="AH145" s="274"/>
      <c r="AI145" s="274"/>
      <c r="AJ145" s="274"/>
      <c r="AK145" s="274"/>
      <c r="AL145" s="274"/>
      <c r="AM145" s="274"/>
      <c r="AN145" s="274"/>
      <c r="AO145" s="274"/>
      <c r="AP145" s="274"/>
      <c r="AQ145" s="274"/>
      <c r="AR145" s="274"/>
      <c r="AS145" s="274"/>
      <c r="AT145" s="274"/>
      <c r="AU145" s="274"/>
      <c r="AV145" s="274"/>
      <c r="AW145" s="274"/>
      <c r="AX145" s="274"/>
      <c r="AY145" s="274"/>
      <c r="AZ145" s="274"/>
      <c r="BA145" s="274"/>
      <c r="BB145" s="274"/>
      <c r="BC145" s="274"/>
      <c r="BD145" s="274"/>
      <c r="BE145" s="274"/>
      <c r="BF145" s="274"/>
      <c r="BG145" s="274"/>
      <c r="BH145" s="274"/>
      <c r="BI145" s="274"/>
      <c r="BJ145" s="274"/>
      <c r="BK145" s="274"/>
      <c r="BL145" s="274"/>
      <c r="BM145" s="274"/>
      <c r="BN145" s="274"/>
    </row>
    <row r="146" spans="1:66" s="252" customFormat="1" x14ac:dyDescent="0.25">
      <c r="A146" s="413"/>
      <c r="B146" s="453"/>
      <c r="C146" s="411"/>
      <c r="D146" s="411"/>
      <c r="E146" s="448"/>
      <c r="F146" s="448"/>
      <c r="G146" s="448"/>
      <c r="H146" s="448"/>
      <c r="I146" s="448"/>
      <c r="J146" s="448"/>
      <c r="K146" s="448"/>
      <c r="L146" s="448"/>
      <c r="M146" s="448"/>
      <c r="N146" s="417"/>
      <c r="O146" s="417"/>
      <c r="P146" s="417"/>
      <c r="Q146" s="399"/>
      <c r="R146" s="399"/>
      <c r="S146" s="399"/>
      <c r="T146" s="399"/>
      <c r="U146" s="459"/>
      <c r="V146" s="396"/>
      <c r="W146" s="394"/>
      <c r="X146" s="395"/>
      <c r="Y146" s="395"/>
      <c r="Z146" s="395"/>
      <c r="AA146" s="395"/>
      <c r="AB146" s="395"/>
      <c r="AC146" s="253"/>
      <c r="AD146" s="253"/>
      <c r="AE146" s="253"/>
      <c r="AF146" s="274"/>
      <c r="AG146" s="274"/>
      <c r="AH146" s="274"/>
      <c r="AI146" s="274"/>
      <c r="AJ146" s="274"/>
      <c r="AK146" s="274"/>
      <c r="AL146" s="274"/>
      <c r="AM146" s="274"/>
      <c r="AN146" s="274"/>
      <c r="AO146" s="274"/>
      <c r="AP146" s="274"/>
      <c r="AQ146" s="274"/>
      <c r="AR146" s="274"/>
      <c r="AS146" s="274"/>
      <c r="AT146" s="274"/>
      <c r="AU146" s="274"/>
      <c r="AV146" s="274"/>
      <c r="AW146" s="274"/>
      <c r="AX146" s="274"/>
      <c r="AY146" s="274"/>
      <c r="AZ146" s="274"/>
      <c r="BA146" s="274"/>
      <c r="BB146" s="274"/>
      <c r="BC146" s="274"/>
      <c r="BD146" s="274"/>
      <c r="BE146" s="274"/>
      <c r="BF146" s="274"/>
      <c r="BG146" s="274"/>
      <c r="BH146" s="274"/>
      <c r="BI146" s="274"/>
      <c r="BJ146" s="274"/>
      <c r="BK146" s="274"/>
      <c r="BL146" s="274"/>
      <c r="BM146" s="274"/>
      <c r="BN146" s="274"/>
    </row>
    <row r="147" spans="1:66" s="252" customFormat="1" x14ac:dyDescent="0.25">
      <c r="A147" s="413"/>
      <c r="B147" s="453"/>
      <c r="C147" s="411"/>
      <c r="D147" s="411"/>
      <c r="E147" s="448"/>
      <c r="F147" s="448"/>
      <c r="G147" s="448"/>
      <c r="H147" s="448"/>
      <c r="I147" s="448"/>
      <c r="J147" s="448"/>
      <c r="K147" s="448"/>
      <c r="L147" s="448"/>
      <c r="M147" s="448"/>
      <c r="N147" s="417"/>
      <c r="O147" s="417"/>
      <c r="P147" s="417"/>
      <c r="Q147" s="399"/>
      <c r="R147" s="399"/>
      <c r="S147" s="399"/>
      <c r="T147" s="399"/>
      <c r="U147" s="459"/>
      <c r="V147" s="396"/>
      <c r="W147" s="394"/>
      <c r="X147" s="395"/>
      <c r="Y147" s="395"/>
      <c r="Z147" s="395"/>
      <c r="AA147" s="395"/>
      <c r="AB147" s="395"/>
      <c r="AC147" s="253"/>
      <c r="AD147" s="253"/>
      <c r="AE147" s="253"/>
      <c r="AF147" s="274"/>
      <c r="AG147" s="274"/>
      <c r="AH147" s="274"/>
      <c r="AI147" s="274"/>
      <c r="AJ147" s="274"/>
      <c r="AK147" s="274"/>
      <c r="AL147" s="274"/>
      <c r="AM147" s="274"/>
      <c r="AN147" s="274"/>
      <c r="AO147" s="274"/>
      <c r="AP147" s="274"/>
      <c r="AQ147" s="274"/>
      <c r="AR147" s="274"/>
      <c r="AS147" s="274"/>
      <c r="AT147" s="274"/>
      <c r="AU147" s="274"/>
      <c r="AV147" s="274"/>
      <c r="AW147" s="274"/>
      <c r="AX147" s="274"/>
      <c r="AY147" s="274"/>
      <c r="AZ147" s="274"/>
      <c r="BA147" s="274"/>
      <c r="BB147" s="274"/>
      <c r="BC147" s="274"/>
      <c r="BD147" s="274"/>
      <c r="BE147" s="274"/>
      <c r="BF147" s="274"/>
      <c r="BG147" s="274"/>
      <c r="BH147" s="274"/>
      <c r="BI147" s="274"/>
      <c r="BJ147" s="274"/>
      <c r="BK147" s="274"/>
      <c r="BL147" s="274"/>
      <c r="BM147" s="274"/>
      <c r="BN147" s="274"/>
    </row>
    <row r="148" spans="1:66" s="252" customFormat="1" x14ac:dyDescent="0.25">
      <c r="A148" s="413"/>
      <c r="B148" s="453"/>
      <c r="C148" s="411"/>
      <c r="D148" s="411"/>
      <c r="E148" s="448"/>
      <c r="F148" s="448"/>
      <c r="G148" s="448"/>
      <c r="H148" s="448"/>
      <c r="I148" s="448"/>
      <c r="J148" s="448"/>
      <c r="K148" s="448"/>
      <c r="L148" s="448"/>
      <c r="M148" s="448"/>
      <c r="N148" s="417"/>
      <c r="O148" s="417"/>
      <c r="P148" s="417"/>
      <c r="Q148" s="399"/>
      <c r="R148" s="399"/>
      <c r="S148" s="399"/>
      <c r="T148" s="399"/>
      <c r="U148" s="459"/>
      <c r="V148" s="396"/>
      <c r="W148" s="394"/>
      <c r="X148" s="395"/>
      <c r="Y148" s="395"/>
      <c r="Z148" s="395"/>
      <c r="AA148" s="395"/>
      <c r="AB148" s="395"/>
      <c r="AC148" s="253"/>
      <c r="AD148" s="253"/>
      <c r="AE148" s="253"/>
      <c r="AF148" s="274"/>
      <c r="AG148" s="274"/>
      <c r="AH148" s="274"/>
      <c r="AI148" s="274"/>
      <c r="AJ148" s="274"/>
      <c r="AK148" s="274"/>
      <c r="AL148" s="274"/>
      <c r="AM148" s="274"/>
      <c r="AN148" s="274"/>
      <c r="AO148" s="274"/>
      <c r="AP148" s="274"/>
      <c r="AQ148" s="274"/>
      <c r="AR148" s="274"/>
      <c r="AS148" s="274"/>
      <c r="AT148" s="274"/>
      <c r="AU148" s="274"/>
      <c r="AV148" s="274"/>
      <c r="AW148" s="274"/>
      <c r="AX148" s="274"/>
      <c r="AY148" s="274"/>
      <c r="AZ148" s="274"/>
      <c r="BA148" s="274"/>
      <c r="BB148" s="274"/>
      <c r="BC148" s="274"/>
      <c r="BD148" s="274"/>
      <c r="BE148" s="274"/>
      <c r="BF148" s="274"/>
      <c r="BG148" s="274"/>
      <c r="BH148" s="274"/>
      <c r="BI148" s="274"/>
      <c r="BJ148" s="274"/>
      <c r="BK148" s="274"/>
      <c r="BL148" s="274"/>
      <c r="BM148" s="274"/>
      <c r="BN148" s="274"/>
    </row>
    <row r="149" spans="1:66" s="252" customFormat="1" x14ac:dyDescent="0.25">
      <c r="A149" s="413"/>
      <c r="B149" s="453"/>
      <c r="C149" s="411"/>
      <c r="D149" s="411"/>
      <c r="E149" s="448"/>
      <c r="F149" s="448"/>
      <c r="G149" s="448"/>
      <c r="H149" s="448"/>
      <c r="I149" s="448"/>
      <c r="J149" s="448"/>
      <c r="K149" s="448"/>
      <c r="L149" s="448"/>
      <c r="M149" s="448"/>
      <c r="N149" s="417"/>
      <c r="O149" s="417"/>
      <c r="P149" s="417"/>
      <c r="Q149" s="399"/>
      <c r="R149" s="399"/>
      <c r="S149" s="399"/>
      <c r="T149" s="399"/>
      <c r="U149" s="459"/>
      <c r="V149" s="396"/>
      <c r="W149" s="394"/>
      <c r="X149" s="395"/>
      <c r="Y149" s="395"/>
      <c r="Z149" s="395"/>
      <c r="AA149" s="395"/>
      <c r="AB149" s="395"/>
      <c r="AC149" s="253"/>
      <c r="AD149" s="253"/>
      <c r="AE149" s="253"/>
      <c r="AF149" s="274"/>
      <c r="AG149" s="274"/>
      <c r="AH149" s="274"/>
      <c r="AI149" s="274"/>
      <c r="AJ149" s="274"/>
      <c r="AK149" s="274"/>
      <c r="AL149" s="274"/>
      <c r="AM149" s="274"/>
      <c r="AN149" s="274"/>
      <c r="AO149" s="274"/>
      <c r="AP149" s="274"/>
      <c r="AQ149" s="274"/>
      <c r="AR149" s="274"/>
      <c r="AS149" s="274"/>
      <c r="AT149" s="274"/>
      <c r="AU149" s="274"/>
      <c r="AV149" s="274"/>
      <c r="AW149" s="274"/>
      <c r="AX149" s="274"/>
      <c r="AY149" s="274"/>
      <c r="AZ149" s="274"/>
      <c r="BA149" s="274"/>
      <c r="BB149" s="274"/>
      <c r="BC149" s="274"/>
      <c r="BD149" s="274"/>
      <c r="BE149" s="274"/>
      <c r="BF149" s="274"/>
      <c r="BG149" s="274"/>
      <c r="BH149" s="274"/>
      <c r="BI149" s="274"/>
      <c r="BJ149" s="274"/>
      <c r="BK149" s="274"/>
      <c r="BL149" s="274"/>
      <c r="BM149" s="274"/>
      <c r="BN149" s="274"/>
    </row>
    <row r="150" spans="1:66" s="250" customFormat="1" x14ac:dyDescent="0.25">
      <c r="A150" s="414"/>
      <c r="B150" s="454"/>
      <c r="C150" s="412"/>
      <c r="D150" s="412"/>
      <c r="E150" s="442"/>
      <c r="F150" s="442"/>
      <c r="G150" s="442"/>
      <c r="H150" s="442"/>
      <c r="I150" s="442"/>
      <c r="J150" s="442"/>
      <c r="K150" s="442"/>
      <c r="L150" s="416"/>
      <c r="M150" s="416"/>
      <c r="N150" s="416"/>
      <c r="O150" s="416"/>
      <c r="P150" s="416"/>
      <c r="Q150" s="398"/>
      <c r="R150" s="398"/>
      <c r="S150" s="398"/>
      <c r="T150" s="398"/>
      <c r="U150" s="457"/>
      <c r="V150" s="393"/>
      <c r="W150" s="392"/>
      <c r="X150" s="390"/>
      <c r="Y150" s="390"/>
      <c r="Z150" s="390"/>
      <c r="AA150" s="390"/>
      <c r="AB150" s="390"/>
      <c r="AC150" s="249"/>
      <c r="AD150" s="249"/>
      <c r="AE150" s="249"/>
      <c r="AF150" s="273"/>
      <c r="AG150" s="273"/>
      <c r="AH150" s="273"/>
      <c r="AI150" s="273"/>
      <c r="AJ150" s="273"/>
      <c r="AK150" s="273"/>
      <c r="AL150" s="273"/>
      <c r="AM150" s="273"/>
      <c r="AN150" s="273"/>
      <c r="AO150" s="273"/>
      <c r="AP150" s="273"/>
      <c r="AQ150" s="273"/>
      <c r="AR150" s="273"/>
      <c r="AS150" s="273"/>
      <c r="AT150" s="273"/>
      <c r="AU150" s="273"/>
      <c r="AV150" s="273"/>
      <c r="AW150" s="273"/>
      <c r="AX150" s="273"/>
      <c r="AY150" s="273"/>
      <c r="AZ150" s="273"/>
      <c r="BA150" s="273"/>
      <c r="BB150" s="273"/>
      <c r="BC150" s="273"/>
      <c r="BD150" s="273"/>
      <c r="BE150" s="273"/>
      <c r="BF150" s="273"/>
      <c r="BG150" s="273"/>
      <c r="BH150" s="273"/>
      <c r="BI150" s="273"/>
      <c r="BJ150" s="273"/>
      <c r="BK150" s="273"/>
      <c r="BL150" s="273"/>
      <c r="BM150" s="273"/>
      <c r="BN150" s="273"/>
    </row>
    <row r="151" spans="1:66" s="250" customFormat="1" x14ac:dyDescent="0.25">
      <c r="A151" s="414"/>
      <c r="B151" s="454"/>
      <c r="C151" s="412"/>
      <c r="D151" s="412"/>
      <c r="E151" s="442"/>
      <c r="F151" s="442"/>
      <c r="G151" s="442"/>
      <c r="H151" s="442"/>
      <c r="I151" s="442"/>
      <c r="J151" s="442"/>
      <c r="K151" s="442"/>
      <c r="L151" s="416"/>
      <c r="M151" s="416"/>
      <c r="N151" s="416"/>
      <c r="O151" s="416"/>
      <c r="P151" s="416"/>
      <c r="Q151" s="398"/>
      <c r="R151" s="398"/>
      <c r="S151" s="398"/>
      <c r="T151" s="398"/>
      <c r="U151" s="457"/>
      <c r="V151" s="393"/>
      <c r="W151" s="392"/>
      <c r="X151" s="390"/>
      <c r="Y151" s="390"/>
      <c r="Z151" s="390"/>
      <c r="AA151" s="390"/>
      <c r="AB151" s="390"/>
      <c r="AC151" s="249"/>
      <c r="AD151" s="249"/>
      <c r="AE151" s="249"/>
      <c r="AF151" s="273"/>
      <c r="AG151" s="273"/>
      <c r="AH151" s="273"/>
      <c r="AI151" s="273"/>
      <c r="AJ151" s="273"/>
      <c r="AK151" s="273"/>
      <c r="AL151" s="273"/>
      <c r="AM151" s="273"/>
      <c r="AN151" s="273"/>
      <c r="AO151" s="273"/>
      <c r="AP151" s="273"/>
      <c r="AQ151" s="273"/>
      <c r="AR151" s="273"/>
      <c r="AS151" s="273"/>
      <c r="AT151" s="273"/>
      <c r="AU151" s="273"/>
      <c r="AV151" s="273"/>
      <c r="AW151" s="273"/>
      <c r="AX151" s="273"/>
      <c r="AY151" s="273"/>
      <c r="AZ151" s="273"/>
      <c r="BA151" s="273"/>
      <c r="BB151" s="273"/>
      <c r="BC151" s="273"/>
      <c r="BD151" s="273"/>
      <c r="BE151" s="273"/>
      <c r="BF151" s="273"/>
      <c r="BG151" s="273"/>
      <c r="BH151" s="273"/>
      <c r="BI151" s="273"/>
      <c r="BJ151" s="273"/>
      <c r="BK151" s="273"/>
      <c r="BL151" s="273"/>
      <c r="BM151" s="273"/>
      <c r="BN151" s="273"/>
    </row>
    <row r="152" spans="1:66" s="250" customFormat="1" x14ac:dyDescent="0.25">
      <c r="A152" s="414"/>
      <c r="B152" s="454"/>
      <c r="C152" s="412"/>
      <c r="D152" s="412"/>
      <c r="E152" s="442"/>
      <c r="F152" s="442"/>
      <c r="G152" s="442"/>
      <c r="H152" s="442"/>
      <c r="I152" s="442"/>
      <c r="J152" s="442"/>
      <c r="K152" s="442"/>
      <c r="L152" s="416"/>
      <c r="M152" s="416"/>
      <c r="N152" s="416"/>
      <c r="O152" s="416"/>
      <c r="P152" s="416"/>
      <c r="Q152" s="398"/>
      <c r="R152" s="398"/>
      <c r="S152" s="398"/>
      <c r="T152" s="398"/>
      <c r="U152" s="457"/>
      <c r="V152" s="393"/>
      <c r="W152" s="392"/>
      <c r="X152" s="390"/>
      <c r="Y152" s="390"/>
      <c r="Z152" s="390"/>
      <c r="AA152" s="390"/>
      <c r="AB152" s="390"/>
      <c r="AC152" s="249"/>
      <c r="AD152" s="249"/>
      <c r="AE152" s="249"/>
      <c r="AF152" s="273"/>
      <c r="AG152" s="273"/>
      <c r="AH152" s="273"/>
      <c r="AI152" s="273"/>
      <c r="AJ152" s="273"/>
      <c r="AK152" s="273"/>
      <c r="AL152" s="273"/>
      <c r="AM152" s="273"/>
      <c r="AN152" s="273"/>
      <c r="AO152" s="273"/>
      <c r="AP152" s="273"/>
      <c r="AQ152" s="273"/>
      <c r="AR152" s="273"/>
      <c r="AS152" s="273"/>
      <c r="AT152" s="273"/>
      <c r="AU152" s="273"/>
      <c r="AV152" s="273"/>
      <c r="AW152" s="273"/>
      <c r="AX152" s="273"/>
      <c r="AY152" s="273"/>
      <c r="AZ152" s="273"/>
      <c r="BA152" s="273"/>
      <c r="BB152" s="273"/>
      <c r="BC152" s="273"/>
      <c r="BD152" s="273"/>
      <c r="BE152" s="273"/>
      <c r="BF152" s="273"/>
      <c r="BG152" s="273"/>
      <c r="BH152" s="273"/>
      <c r="BI152" s="273"/>
      <c r="BJ152" s="273"/>
      <c r="BK152" s="273"/>
      <c r="BL152" s="273"/>
      <c r="BM152" s="273"/>
      <c r="BN152" s="273"/>
    </row>
    <row r="153" spans="1:66" s="250" customFormat="1" x14ac:dyDescent="0.25">
      <c r="A153" s="414"/>
      <c r="B153" s="454"/>
      <c r="C153" s="412"/>
      <c r="D153" s="412"/>
      <c r="E153" s="442"/>
      <c r="F153" s="442"/>
      <c r="G153" s="442"/>
      <c r="H153" s="442"/>
      <c r="I153" s="442"/>
      <c r="J153" s="442"/>
      <c r="K153" s="442"/>
      <c r="L153" s="416"/>
      <c r="M153" s="416"/>
      <c r="N153" s="416"/>
      <c r="O153" s="416"/>
      <c r="P153" s="416"/>
      <c r="Q153" s="398"/>
      <c r="R153" s="398"/>
      <c r="S153" s="398"/>
      <c r="T153" s="398"/>
      <c r="U153" s="457"/>
      <c r="V153" s="393"/>
      <c r="W153" s="392"/>
      <c r="X153" s="390"/>
      <c r="Y153" s="390"/>
      <c r="Z153" s="390"/>
      <c r="AA153" s="390"/>
      <c r="AB153" s="390"/>
      <c r="AC153" s="249"/>
      <c r="AD153" s="249"/>
      <c r="AE153" s="249"/>
      <c r="AF153" s="273"/>
      <c r="AG153" s="273"/>
      <c r="AH153" s="273"/>
      <c r="AI153" s="273"/>
      <c r="AJ153" s="273"/>
      <c r="AK153" s="273"/>
      <c r="AL153" s="273"/>
      <c r="AM153" s="273"/>
      <c r="AN153" s="273"/>
      <c r="AO153" s="273"/>
      <c r="AP153" s="273"/>
      <c r="AQ153" s="273"/>
      <c r="AR153" s="273"/>
      <c r="AS153" s="273"/>
      <c r="AT153" s="273"/>
      <c r="AU153" s="273"/>
      <c r="AV153" s="273"/>
      <c r="AW153" s="273"/>
      <c r="AX153" s="273"/>
      <c r="AY153" s="273"/>
      <c r="AZ153" s="273"/>
      <c r="BA153" s="273"/>
      <c r="BB153" s="273"/>
      <c r="BC153" s="273"/>
      <c r="BD153" s="273"/>
      <c r="BE153" s="273"/>
      <c r="BF153" s="273"/>
      <c r="BG153" s="273"/>
      <c r="BH153" s="273"/>
      <c r="BI153" s="273"/>
      <c r="BJ153" s="273"/>
      <c r="BK153" s="273"/>
      <c r="BL153" s="273"/>
      <c r="BM153" s="273"/>
      <c r="BN153" s="273"/>
    </row>
    <row r="154" spans="1:66" s="250" customFormat="1" x14ac:dyDescent="0.25">
      <c r="A154" s="414"/>
      <c r="B154" s="454"/>
      <c r="C154" s="412"/>
      <c r="D154" s="412"/>
      <c r="E154" s="442"/>
      <c r="F154" s="442"/>
      <c r="G154" s="442"/>
      <c r="H154" s="442"/>
      <c r="I154" s="442"/>
      <c r="J154" s="442"/>
      <c r="K154" s="442"/>
      <c r="L154" s="416"/>
      <c r="M154" s="416"/>
      <c r="N154" s="416"/>
      <c r="O154" s="416"/>
      <c r="P154" s="416"/>
      <c r="Q154" s="398"/>
      <c r="R154" s="398"/>
      <c r="S154" s="398"/>
      <c r="T154" s="398"/>
      <c r="U154" s="457"/>
      <c r="V154" s="393"/>
      <c r="W154" s="392"/>
      <c r="X154" s="390"/>
      <c r="Y154" s="390"/>
      <c r="Z154" s="390"/>
      <c r="AA154" s="390"/>
      <c r="AB154" s="390"/>
      <c r="AC154" s="249"/>
      <c r="AD154" s="249"/>
      <c r="AE154" s="249"/>
      <c r="AF154" s="273"/>
      <c r="AG154" s="273"/>
      <c r="AH154" s="273"/>
      <c r="AI154" s="273"/>
      <c r="AJ154" s="273"/>
      <c r="AK154" s="273"/>
      <c r="AL154" s="273"/>
      <c r="AM154" s="273"/>
      <c r="AN154" s="273"/>
      <c r="AO154" s="273"/>
      <c r="AP154" s="273"/>
      <c r="AQ154" s="273"/>
      <c r="AR154" s="273"/>
      <c r="AS154" s="273"/>
      <c r="AT154" s="273"/>
      <c r="AU154" s="273"/>
      <c r="AV154" s="273"/>
      <c r="AW154" s="273"/>
      <c r="AX154" s="273"/>
      <c r="AY154" s="273"/>
      <c r="AZ154" s="273"/>
      <c r="BA154" s="273"/>
      <c r="BB154" s="273"/>
      <c r="BC154" s="273"/>
      <c r="BD154" s="273"/>
      <c r="BE154" s="273"/>
      <c r="BF154" s="273"/>
      <c r="BG154" s="273"/>
      <c r="BH154" s="273"/>
      <c r="BI154" s="273"/>
      <c r="BJ154" s="273"/>
      <c r="BK154" s="273"/>
      <c r="BL154" s="273"/>
      <c r="BM154" s="273"/>
      <c r="BN154" s="273"/>
    </row>
    <row r="155" spans="1:66" s="250" customFormat="1" x14ac:dyDescent="0.25">
      <c r="A155" s="414"/>
      <c r="B155" s="454"/>
      <c r="C155" s="412"/>
      <c r="D155" s="412"/>
      <c r="E155" s="442"/>
      <c r="F155" s="442"/>
      <c r="G155" s="442"/>
      <c r="H155" s="442"/>
      <c r="I155" s="442"/>
      <c r="J155" s="442"/>
      <c r="K155" s="442"/>
      <c r="L155" s="416"/>
      <c r="M155" s="416"/>
      <c r="N155" s="416"/>
      <c r="O155" s="416"/>
      <c r="P155" s="416"/>
      <c r="Q155" s="398"/>
      <c r="R155" s="398"/>
      <c r="S155" s="398"/>
      <c r="T155" s="398"/>
      <c r="U155" s="457"/>
      <c r="V155" s="393"/>
      <c r="W155" s="392"/>
      <c r="X155" s="390"/>
      <c r="Y155" s="390"/>
      <c r="Z155" s="390"/>
      <c r="AA155" s="390"/>
      <c r="AB155" s="390"/>
      <c r="AC155" s="249"/>
      <c r="AD155" s="249"/>
      <c r="AE155" s="249"/>
      <c r="AF155" s="273"/>
      <c r="AG155" s="273"/>
      <c r="AH155" s="273"/>
      <c r="AI155" s="273"/>
      <c r="AJ155" s="273"/>
      <c r="AK155" s="273"/>
      <c r="AL155" s="273"/>
      <c r="AM155" s="273"/>
      <c r="AN155" s="273"/>
      <c r="AO155" s="273"/>
      <c r="AP155" s="273"/>
      <c r="AQ155" s="273"/>
      <c r="AR155" s="273"/>
      <c r="AS155" s="273"/>
      <c r="AT155" s="273"/>
      <c r="AU155" s="273"/>
      <c r="AV155" s="273"/>
      <c r="AW155" s="273"/>
      <c r="AX155" s="273"/>
      <c r="AY155" s="273"/>
      <c r="AZ155" s="273"/>
      <c r="BA155" s="273"/>
      <c r="BB155" s="273"/>
      <c r="BC155" s="273"/>
      <c r="BD155" s="273"/>
      <c r="BE155" s="273"/>
      <c r="BF155" s="273"/>
      <c r="BG155" s="273"/>
      <c r="BH155" s="273"/>
      <c r="BI155" s="273"/>
      <c r="BJ155" s="273"/>
      <c r="BK155" s="273"/>
      <c r="BL155" s="273"/>
      <c r="BM155" s="273"/>
      <c r="BN155" s="273"/>
    </row>
    <row r="156" spans="1:66" s="250" customFormat="1" x14ac:dyDescent="0.25">
      <c r="A156" s="414"/>
      <c r="B156" s="454"/>
      <c r="C156" s="412"/>
      <c r="D156" s="412"/>
      <c r="E156" s="442"/>
      <c r="F156" s="442"/>
      <c r="G156" s="442"/>
      <c r="H156" s="442"/>
      <c r="I156" s="442"/>
      <c r="J156" s="442"/>
      <c r="K156" s="442"/>
      <c r="L156" s="416"/>
      <c r="M156" s="416"/>
      <c r="N156" s="416"/>
      <c r="O156" s="416"/>
      <c r="P156" s="416"/>
      <c r="Q156" s="398"/>
      <c r="R156" s="398"/>
      <c r="S156" s="398"/>
      <c r="T156" s="398"/>
      <c r="U156" s="457"/>
      <c r="V156" s="393"/>
      <c r="W156" s="392"/>
      <c r="X156" s="390"/>
      <c r="Y156" s="390"/>
      <c r="Z156" s="390"/>
      <c r="AA156" s="390"/>
      <c r="AB156" s="390"/>
      <c r="AC156" s="249"/>
      <c r="AD156" s="249"/>
      <c r="AE156" s="249"/>
      <c r="AF156" s="273"/>
      <c r="AG156" s="273"/>
      <c r="AH156" s="273"/>
      <c r="AI156" s="273"/>
      <c r="AJ156" s="273"/>
      <c r="AK156" s="273"/>
      <c r="AL156" s="273"/>
      <c r="AM156" s="273"/>
      <c r="AN156" s="273"/>
      <c r="AO156" s="273"/>
      <c r="AP156" s="273"/>
      <c r="AQ156" s="273"/>
      <c r="AR156" s="273"/>
      <c r="AS156" s="273"/>
      <c r="AT156" s="273"/>
      <c r="AU156" s="273"/>
      <c r="AV156" s="273"/>
      <c r="AW156" s="273"/>
      <c r="AX156" s="273"/>
      <c r="AY156" s="273"/>
      <c r="AZ156" s="273"/>
      <c r="BA156" s="273"/>
      <c r="BB156" s="273"/>
      <c r="BC156" s="273"/>
      <c r="BD156" s="273"/>
      <c r="BE156" s="273"/>
      <c r="BF156" s="273"/>
      <c r="BG156" s="273"/>
      <c r="BH156" s="273"/>
      <c r="BI156" s="273"/>
      <c r="BJ156" s="273"/>
      <c r="BK156" s="273"/>
      <c r="BL156" s="273"/>
      <c r="BM156" s="273"/>
      <c r="BN156" s="273"/>
    </row>
    <row r="157" spans="1:66" s="250" customFormat="1" x14ac:dyDescent="0.25">
      <c r="A157" s="414"/>
      <c r="B157" s="454"/>
      <c r="C157" s="412"/>
      <c r="D157" s="412"/>
      <c r="E157" s="442"/>
      <c r="F157" s="442"/>
      <c r="G157" s="442"/>
      <c r="H157" s="442"/>
      <c r="I157" s="442"/>
      <c r="J157" s="442"/>
      <c r="K157" s="442"/>
      <c r="L157" s="416"/>
      <c r="M157" s="416"/>
      <c r="N157" s="416"/>
      <c r="O157" s="416"/>
      <c r="P157" s="416"/>
      <c r="Q157" s="398"/>
      <c r="R157" s="398"/>
      <c r="S157" s="398"/>
      <c r="T157" s="398"/>
      <c r="U157" s="457"/>
      <c r="V157" s="393"/>
      <c r="W157" s="392"/>
      <c r="X157" s="390"/>
      <c r="Y157" s="390"/>
      <c r="Z157" s="390"/>
      <c r="AA157" s="390"/>
      <c r="AB157" s="390"/>
      <c r="AC157" s="249"/>
      <c r="AD157" s="249"/>
      <c r="AE157" s="249"/>
      <c r="AF157" s="273"/>
      <c r="AG157" s="273"/>
      <c r="AH157" s="273"/>
      <c r="AI157" s="273"/>
      <c r="AJ157" s="273"/>
      <c r="AK157" s="273"/>
      <c r="AL157" s="273"/>
      <c r="AM157" s="273"/>
      <c r="AN157" s="273"/>
      <c r="AO157" s="273"/>
      <c r="AP157" s="273"/>
      <c r="AQ157" s="273"/>
      <c r="AR157" s="273"/>
      <c r="AS157" s="273"/>
      <c r="AT157" s="273"/>
      <c r="AU157" s="273"/>
      <c r="AV157" s="273"/>
      <c r="AW157" s="273"/>
      <c r="AX157" s="273"/>
      <c r="AY157" s="273"/>
      <c r="AZ157" s="273"/>
      <c r="BA157" s="273"/>
      <c r="BB157" s="273"/>
      <c r="BC157" s="273"/>
      <c r="BD157" s="273"/>
      <c r="BE157" s="273"/>
      <c r="BF157" s="273"/>
      <c r="BG157" s="273"/>
      <c r="BH157" s="273"/>
      <c r="BI157" s="273"/>
      <c r="BJ157" s="273"/>
      <c r="BK157" s="273"/>
      <c r="BL157" s="273"/>
      <c r="BM157" s="273"/>
      <c r="BN157" s="273"/>
    </row>
    <row r="158" spans="1:66" s="250" customFormat="1" x14ac:dyDescent="0.25">
      <c r="A158" s="414"/>
      <c r="B158" s="454"/>
      <c r="C158" s="412"/>
      <c r="D158" s="412"/>
      <c r="E158" s="442"/>
      <c r="F158" s="442"/>
      <c r="G158" s="442"/>
      <c r="H158" s="442"/>
      <c r="I158" s="442"/>
      <c r="J158" s="442"/>
      <c r="K158" s="442"/>
      <c r="L158" s="416"/>
      <c r="M158" s="416"/>
      <c r="N158" s="416"/>
      <c r="O158" s="416"/>
      <c r="P158" s="416"/>
      <c r="Q158" s="398"/>
      <c r="R158" s="398"/>
      <c r="S158" s="398"/>
      <c r="T158" s="398"/>
      <c r="U158" s="457"/>
      <c r="V158" s="393"/>
      <c r="W158" s="392"/>
      <c r="X158" s="390"/>
      <c r="Y158" s="390"/>
      <c r="Z158" s="390"/>
      <c r="AA158" s="390"/>
      <c r="AB158" s="390"/>
      <c r="AC158" s="249"/>
      <c r="AD158" s="249"/>
      <c r="AE158" s="249"/>
      <c r="AF158" s="273"/>
      <c r="AG158" s="273"/>
      <c r="AH158" s="273"/>
      <c r="AI158" s="273"/>
      <c r="AJ158" s="273"/>
      <c r="AK158" s="273"/>
      <c r="AL158" s="273"/>
      <c r="AM158" s="273"/>
      <c r="AN158" s="273"/>
      <c r="AO158" s="273"/>
      <c r="AP158" s="273"/>
      <c r="AQ158" s="273"/>
      <c r="AR158" s="273"/>
      <c r="AS158" s="273"/>
      <c r="AT158" s="273"/>
      <c r="AU158" s="273"/>
      <c r="AV158" s="273"/>
      <c r="AW158" s="273"/>
      <c r="AX158" s="273"/>
      <c r="AY158" s="273"/>
      <c r="AZ158" s="273"/>
      <c r="BA158" s="273"/>
      <c r="BB158" s="273"/>
      <c r="BC158" s="273"/>
      <c r="BD158" s="273"/>
      <c r="BE158" s="273"/>
      <c r="BF158" s="273"/>
      <c r="BG158" s="273"/>
      <c r="BH158" s="273"/>
      <c r="BI158" s="273"/>
      <c r="BJ158" s="273"/>
      <c r="BK158" s="273"/>
      <c r="BL158" s="273"/>
      <c r="BM158" s="273"/>
      <c r="BN158" s="273"/>
    </row>
    <row r="159" spans="1:66" s="250" customFormat="1" x14ac:dyDescent="0.25">
      <c r="A159" s="414"/>
      <c r="B159" s="454"/>
      <c r="C159" s="412"/>
      <c r="D159" s="412"/>
      <c r="E159" s="442"/>
      <c r="F159" s="442"/>
      <c r="G159" s="442"/>
      <c r="H159" s="442"/>
      <c r="I159" s="442"/>
      <c r="J159" s="442"/>
      <c r="K159" s="442"/>
      <c r="L159" s="416"/>
      <c r="M159" s="416"/>
      <c r="N159" s="416"/>
      <c r="O159" s="416"/>
      <c r="P159" s="416"/>
      <c r="Q159" s="398"/>
      <c r="R159" s="398"/>
      <c r="S159" s="398"/>
      <c r="T159" s="398"/>
      <c r="U159" s="457"/>
      <c r="V159" s="393"/>
      <c r="W159" s="392"/>
      <c r="X159" s="390"/>
      <c r="Y159" s="390"/>
      <c r="Z159" s="390"/>
      <c r="AA159" s="390"/>
      <c r="AB159" s="390"/>
      <c r="AC159" s="249"/>
      <c r="AD159" s="249"/>
      <c r="AE159" s="249"/>
      <c r="AF159" s="273"/>
      <c r="AG159" s="273"/>
      <c r="AH159" s="273"/>
      <c r="AI159" s="273"/>
      <c r="AJ159" s="273"/>
      <c r="AK159" s="273"/>
      <c r="AL159" s="273"/>
      <c r="AM159" s="273"/>
      <c r="AN159" s="273"/>
      <c r="AO159" s="273"/>
      <c r="AP159" s="273"/>
      <c r="AQ159" s="273"/>
      <c r="AR159" s="273"/>
      <c r="AS159" s="273"/>
      <c r="AT159" s="273"/>
      <c r="AU159" s="273"/>
      <c r="AV159" s="273"/>
      <c r="AW159" s="273"/>
      <c r="AX159" s="273"/>
      <c r="AY159" s="273"/>
      <c r="AZ159" s="273"/>
      <c r="BA159" s="273"/>
      <c r="BB159" s="273"/>
      <c r="BC159" s="273"/>
      <c r="BD159" s="273"/>
      <c r="BE159" s="273"/>
      <c r="BF159" s="273"/>
      <c r="BG159" s="273"/>
      <c r="BH159" s="273"/>
      <c r="BI159" s="273"/>
      <c r="BJ159" s="273"/>
      <c r="BK159" s="273"/>
      <c r="BL159" s="273"/>
      <c r="BM159" s="273"/>
      <c r="BN159" s="273"/>
    </row>
    <row r="160" spans="1:66" s="250" customFormat="1" x14ac:dyDescent="0.25">
      <c r="A160" s="414"/>
      <c r="B160" s="454"/>
      <c r="C160" s="412"/>
      <c r="D160" s="412"/>
      <c r="E160" s="442"/>
      <c r="F160" s="442"/>
      <c r="G160" s="442"/>
      <c r="H160" s="442"/>
      <c r="I160" s="442"/>
      <c r="J160" s="442"/>
      <c r="K160" s="442"/>
      <c r="L160" s="416"/>
      <c r="M160" s="416"/>
      <c r="N160" s="416"/>
      <c r="O160" s="416"/>
      <c r="P160" s="416"/>
      <c r="Q160" s="398"/>
      <c r="R160" s="398"/>
      <c r="S160" s="398"/>
      <c r="T160" s="398"/>
      <c r="U160" s="457"/>
      <c r="V160" s="393"/>
      <c r="W160" s="392"/>
      <c r="X160" s="390"/>
      <c r="Y160" s="390"/>
      <c r="Z160" s="390"/>
      <c r="AA160" s="390"/>
      <c r="AB160" s="390"/>
      <c r="AC160" s="249"/>
      <c r="AD160" s="249"/>
      <c r="AE160" s="249"/>
      <c r="AF160" s="273"/>
      <c r="AG160" s="273"/>
      <c r="AH160" s="273"/>
      <c r="AI160" s="273"/>
      <c r="AJ160" s="273"/>
      <c r="AK160" s="273"/>
      <c r="AL160" s="273"/>
      <c r="AM160" s="273"/>
      <c r="AN160" s="273"/>
      <c r="AO160" s="273"/>
      <c r="AP160" s="273"/>
      <c r="AQ160" s="273"/>
      <c r="AR160" s="273"/>
      <c r="AS160" s="273"/>
      <c r="AT160" s="273"/>
      <c r="AU160" s="273"/>
      <c r="AV160" s="273"/>
      <c r="AW160" s="273"/>
      <c r="AX160" s="273"/>
      <c r="AY160" s="273"/>
      <c r="AZ160" s="273"/>
      <c r="BA160" s="273"/>
      <c r="BB160" s="273"/>
      <c r="BC160" s="273"/>
      <c r="BD160" s="273"/>
      <c r="BE160" s="273"/>
      <c r="BF160" s="273"/>
      <c r="BG160" s="273"/>
      <c r="BH160" s="273"/>
      <c r="BI160" s="273"/>
      <c r="BJ160" s="273"/>
      <c r="BK160" s="273"/>
      <c r="BL160" s="273"/>
      <c r="BM160" s="273"/>
      <c r="BN160" s="273"/>
    </row>
    <row r="161" spans="1:66" s="250" customFormat="1" x14ac:dyDescent="0.25">
      <c r="A161" s="414"/>
      <c r="B161" s="454"/>
      <c r="C161" s="412"/>
      <c r="D161" s="412"/>
      <c r="E161" s="442"/>
      <c r="F161" s="442"/>
      <c r="G161" s="442"/>
      <c r="H161" s="442"/>
      <c r="I161" s="442"/>
      <c r="J161" s="442"/>
      <c r="K161" s="442"/>
      <c r="L161" s="416"/>
      <c r="M161" s="416"/>
      <c r="N161" s="416"/>
      <c r="O161" s="416"/>
      <c r="P161" s="416"/>
      <c r="Q161" s="398"/>
      <c r="R161" s="398"/>
      <c r="S161" s="398"/>
      <c r="T161" s="398"/>
      <c r="U161" s="457"/>
      <c r="V161" s="393"/>
      <c r="W161" s="392"/>
      <c r="X161" s="390"/>
      <c r="Y161" s="390"/>
      <c r="Z161" s="390"/>
      <c r="AA161" s="390"/>
      <c r="AB161" s="390"/>
      <c r="AC161" s="249"/>
      <c r="AD161" s="249"/>
      <c r="AE161" s="249"/>
      <c r="AF161" s="273"/>
      <c r="AG161" s="273"/>
      <c r="AH161" s="273"/>
      <c r="AI161" s="273"/>
      <c r="AJ161" s="273"/>
      <c r="AK161" s="273"/>
      <c r="AL161" s="273"/>
      <c r="AM161" s="273"/>
      <c r="AN161" s="273"/>
      <c r="AO161" s="273"/>
      <c r="AP161" s="273"/>
      <c r="AQ161" s="273"/>
      <c r="AR161" s="273"/>
      <c r="AS161" s="273"/>
      <c r="AT161" s="273"/>
      <c r="AU161" s="273"/>
      <c r="AV161" s="273"/>
      <c r="AW161" s="273"/>
      <c r="AX161" s="273"/>
      <c r="AY161" s="273"/>
      <c r="AZ161" s="273"/>
      <c r="BA161" s="273"/>
      <c r="BB161" s="273"/>
      <c r="BC161" s="273"/>
      <c r="BD161" s="273"/>
      <c r="BE161" s="273"/>
      <c r="BF161" s="273"/>
      <c r="BG161" s="273"/>
      <c r="BH161" s="273"/>
      <c r="BI161" s="273"/>
      <c r="BJ161" s="273"/>
      <c r="BK161" s="273"/>
      <c r="BL161" s="273"/>
      <c r="BM161" s="273"/>
      <c r="BN161" s="273"/>
    </row>
    <row r="162" spans="1:66" s="250" customFormat="1" x14ac:dyDescent="0.25">
      <c r="A162" s="414"/>
      <c r="B162" s="454"/>
      <c r="C162" s="412"/>
      <c r="D162" s="412"/>
      <c r="E162" s="442"/>
      <c r="F162" s="442"/>
      <c r="G162" s="442"/>
      <c r="H162" s="442"/>
      <c r="I162" s="442"/>
      <c r="J162" s="442"/>
      <c r="K162" s="442"/>
      <c r="L162" s="416"/>
      <c r="M162" s="416"/>
      <c r="N162" s="416"/>
      <c r="O162" s="416"/>
      <c r="P162" s="416"/>
      <c r="Q162" s="398"/>
      <c r="R162" s="398"/>
      <c r="S162" s="398"/>
      <c r="T162" s="398"/>
      <c r="U162" s="457"/>
      <c r="V162" s="393"/>
      <c r="W162" s="392"/>
      <c r="X162" s="390"/>
      <c r="Y162" s="390"/>
      <c r="Z162" s="390"/>
      <c r="AA162" s="390"/>
      <c r="AB162" s="390"/>
      <c r="AC162" s="249"/>
      <c r="AD162" s="249"/>
      <c r="AE162" s="249"/>
      <c r="AF162" s="273"/>
      <c r="AG162" s="273"/>
      <c r="AH162" s="273"/>
      <c r="AI162" s="273"/>
      <c r="AJ162" s="273"/>
      <c r="AK162" s="273"/>
      <c r="AL162" s="273"/>
      <c r="AM162" s="273"/>
      <c r="AN162" s="273"/>
      <c r="AO162" s="273"/>
      <c r="AP162" s="273"/>
      <c r="AQ162" s="273"/>
      <c r="AR162" s="273"/>
      <c r="AS162" s="273"/>
      <c r="AT162" s="273"/>
      <c r="AU162" s="273"/>
      <c r="AV162" s="273"/>
      <c r="AW162" s="273"/>
      <c r="AX162" s="273"/>
      <c r="AY162" s="273"/>
      <c r="AZ162" s="273"/>
      <c r="BA162" s="273"/>
      <c r="BB162" s="273"/>
      <c r="BC162" s="273"/>
      <c r="BD162" s="273"/>
      <c r="BE162" s="273"/>
      <c r="BF162" s="273"/>
      <c r="BG162" s="273"/>
      <c r="BH162" s="273"/>
      <c r="BI162" s="273"/>
      <c r="BJ162" s="273"/>
      <c r="BK162" s="273"/>
      <c r="BL162" s="273"/>
      <c r="BM162" s="273"/>
      <c r="BN162" s="273"/>
    </row>
    <row r="163" spans="1:66" s="250" customFormat="1" x14ac:dyDescent="0.25">
      <c r="A163" s="414"/>
      <c r="B163" s="454"/>
      <c r="C163" s="412"/>
      <c r="D163" s="412"/>
      <c r="E163" s="442"/>
      <c r="F163" s="442"/>
      <c r="G163" s="442"/>
      <c r="H163" s="442"/>
      <c r="I163" s="442"/>
      <c r="J163" s="442"/>
      <c r="K163" s="442"/>
      <c r="L163" s="416"/>
      <c r="M163" s="416"/>
      <c r="N163" s="416"/>
      <c r="O163" s="416"/>
      <c r="P163" s="416"/>
      <c r="Q163" s="398"/>
      <c r="R163" s="398"/>
      <c r="S163" s="398"/>
      <c r="T163" s="398"/>
      <c r="U163" s="457"/>
      <c r="V163" s="393"/>
      <c r="W163" s="392"/>
      <c r="X163" s="390"/>
      <c r="Y163" s="390"/>
      <c r="Z163" s="390"/>
      <c r="AA163" s="390"/>
      <c r="AB163" s="390"/>
      <c r="AC163" s="249"/>
      <c r="AD163" s="249"/>
      <c r="AE163" s="249"/>
      <c r="AF163" s="273"/>
      <c r="AG163" s="273"/>
      <c r="AH163" s="273"/>
      <c r="AI163" s="273"/>
      <c r="AJ163" s="273"/>
      <c r="AK163" s="273"/>
      <c r="AL163" s="273"/>
      <c r="AM163" s="273"/>
      <c r="AN163" s="273"/>
      <c r="AO163" s="273"/>
      <c r="AP163" s="273"/>
      <c r="AQ163" s="273"/>
      <c r="AR163" s="273"/>
      <c r="AS163" s="273"/>
      <c r="AT163" s="273"/>
      <c r="AU163" s="273"/>
      <c r="AV163" s="273"/>
      <c r="AW163" s="273"/>
      <c r="AX163" s="273"/>
      <c r="AY163" s="273"/>
      <c r="AZ163" s="273"/>
      <c r="BA163" s="273"/>
      <c r="BB163" s="273"/>
      <c r="BC163" s="273"/>
      <c r="BD163" s="273"/>
      <c r="BE163" s="273"/>
      <c r="BF163" s="273"/>
      <c r="BG163" s="273"/>
      <c r="BH163" s="273"/>
      <c r="BI163" s="273"/>
      <c r="BJ163" s="273"/>
      <c r="BK163" s="273"/>
      <c r="BL163" s="273"/>
      <c r="BM163" s="273"/>
      <c r="BN163" s="273"/>
    </row>
    <row r="164" spans="1:66" s="250" customFormat="1" x14ac:dyDescent="0.25">
      <c r="A164" s="414"/>
      <c r="B164" s="454"/>
      <c r="C164" s="412"/>
      <c r="D164" s="412"/>
      <c r="E164" s="442"/>
      <c r="F164" s="442"/>
      <c r="G164" s="442"/>
      <c r="H164" s="442"/>
      <c r="I164" s="442"/>
      <c r="J164" s="442"/>
      <c r="K164" s="442"/>
      <c r="L164" s="416"/>
      <c r="M164" s="416"/>
      <c r="N164" s="416"/>
      <c r="O164" s="416"/>
      <c r="P164" s="416"/>
      <c r="Q164" s="398"/>
      <c r="R164" s="398"/>
      <c r="S164" s="398"/>
      <c r="T164" s="398"/>
      <c r="U164" s="457"/>
      <c r="V164" s="393"/>
      <c r="W164" s="392"/>
      <c r="X164" s="390"/>
      <c r="Y164" s="390"/>
      <c r="Z164" s="390"/>
      <c r="AA164" s="390"/>
      <c r="AB164" s="390"/>
      <c r="AC164" s="249"/>
      <c r="AD164" s="249"/>
      <c r="AE164" s="249"/>
      <c r="AF164" s="273"/>
      <c r="AG164" s="273"/>
      <c r="AH164" s="273"/>
      <c r="AI164" s="273"/>
      <c r="AJ164" s="273"/>
      <c r="AK164" s="273"/>
      <c r="AL164" s="273"/>
      <c r="AM164" s="273"/>
      <c r="AN164" s="273"/>
      <c r="AO164" s="273"/>
      <c r="AP164" s="273"/>
      <c r="AQ164" s="273"/>
      <c r="AR164" s="273"/>
      <c r="AS164" s="273"/>
      <c r="AT164" s="273"/>
      <c r="AU164" s="273"/>
      <c r="AV164" s="273"/>
      <c r="AW164" s="273"/>
      <c r="AX164" s="273"/>
      <c r="AY164" s="273"/>
      <c r="AZ164" s="273"/>
      <c r="BA164" s="273"/>
      <c r="BB164" s="273"/>
      <c r="BC164" s="273"/>
      <c r="BD164" s="273"/>
      <c r="BE164" s="273"/>
      <c r="BF164" s="273"/>
      <c r="BG164" s="273"/>
      <c r="BH164" s="273"/>
      <c r="BI164" s="273"/>
      <c r="BJ164" s="273"/>
      <c r="BK164" s="273"/>
      <c r="BL164" s="273"/>
      <c r="BM164" s="273"/>
      <c r="BN164" s="273"/>
    </row>
    <row r="165" spans="1:66" s="250" customFormat="1" x14ac:dyDescent="0.25">
      <c r="A165" s="414"/>
      <c r="B165" s="454"/>
      <c r="C165" s="412"/>
      <c r="D165" s="412"/>
      <c r="E165" s="442"/>
      <c r="F165" s="442"/>
      <c r="G165" s="442"/>
      <c r="H165" s="442"/>
      <c r="I165" s="442"/>
      <c r="J165" s="442"/>
      <c r="K165" s="442"/>
      <c r="L165" s="416"/>
      <c r="M165" s="416"/>
      <c r="N165" s="416"/>
      <c r="O165" s="416"/>
      <c r="P165" s="416"/>
      <c r="Q165" s="398"/>
      <c r="R165" s="398"/>
      <c r="S165" s="398"/>
      <c r="T165" s="398"/>
      <c r="U165" s="457"/>
      <c r="V165" s="393"/>
      <c r="W165" s="392"/>
      <c r="X165" s="390"/>
      <c r="Y165" s="390"/>
      <c r="Z165" s="390"/>
      <c r="AA165" s="390"/>
      <c r="AB165" s="390"/>
      <c r="AC165" s="249"/>
      <c r="AD165" s="249"/>
      <c r="AE165" s="249"/>
      <c r="AF165" s="273"/>
      <c r="AG165" s="273"/>
      <c r="AH165" s="273"/>
      <c r="AI165" s="273"/>
      <c r="AJ165" s="273"/>
      <c r="AK165" s="273"/>
      <c r="AL165" s="273"/>
      <c r="AM165" s="273"/>
      <c r="AN165" s="273"/>
      <c r="AO165" s="273"/>
      <c r="AP165" s="273"/>
      <c r="AQ165" s="273"/>
      <c r="AR165" s="273"/>
      <c r="AS165" s="273"/>
      <c r="AT165" s="273"/>
      <c r="AU165" s="273"/>
      <c r="AV165" s="273"/>
      <c r="AW165" s="273"/>
      <c r="AX165" s="273"/>
      <c r="AY165" s="273"/>
      <c r="AZ165" s="273"/>
      <c r="BA165" s="273"/>
      <c r="BB165" s="273"/>
      <c r="BC165" s="273"/>
      <c r="BD165" s="273"/>
      <c r="BE165" s="273"/>
      <c r="BF165" s="273"/>
      <c r="BG165" s="273"/>
      <c r="BH165" s="273"/>
      <c r="BI165" s="273"/>
      <c r="BJ165" s="273"/>
      <c r="BK165" s="273"/>
      <c r="BL165" s="273"/>
      <c r="BM165" s="273"/>
      <c r="BN165" s="273"/>
    </row>
    <row r="166" spans="1:66" s="250" customFormat="1" x14ac:dyDescent="0.25">
      <c r="A166" s="414"/>
      <c r="B166" s="454"/>
      <c r="C166" s="412"/>
      <c r="D166" s="412"/>
      <c r="E166" s="442"/>
      <c r="F166" s="442"/>
      <c r="G166" s="442"/>
      <c r="H166" s="442"/>
      <c r="I166" s="442"/>
      <c r="J166" s="442"/>
      <c r="K166" s="442"/>
      <c r="L166" s="416"/>
      <c r="M166" s="416"/>
      <c r="N166" s="416"/>
      <c r="O166" s="416"/>
      <c r="P166" s="416"/>
      <c r="Q166" s="398"/>
      <c r="R166" s="398"/>
      <c r="S166" s="398"/>
      <c r="T166" s="398"/>
      <c r="U166" s="457"/>
      <c r="V166" s="393"/>
      <c r="W166" s="392"/>
      <c r="X166" s="390"/>
      <c r="Y166" s="390"/>
      <c r="Z166" s="390"/>
      <c r="AA166" s="390"/>
      <c r="AB166" s="390"/>
      <c r="AC166" s="249"/>
      <c r="AD166" s="249"/>
      <c r="AE166" s="249"/>
      <c r="AF166" s="273"/>
      <c r="AG166" s="273"/>
      <c r="AH166" s="273"/>
      <c r="AI166" s="273"/>
      <c r="AJ166" s="273"/>
      <c r="AK166" s="273"/>
      <c r="AL166" s="273"/>
      <c r="AM166" s="273"/>
      <c r="AN166" s="273"/>
      <c r="AO166" s="273"/>
      <c r="AP166" s="273"/>
      <c r="AQ166" s="273"/>
      <c r="AR166" s="273"/>
      <c r="AS166" s="273"/>
      <c r="AT166" s="273"/>
      <c r="AU166" s="273"/>
      <c r="AV166" s="273"/>
      <c r="AW166" s="273"/>
      <c r="AX166" s="273"/>
      <c r="AY166" s="273"/>
      <c r="AZ166" s="273"/>
      <c r="BA166" s="273"/>
      <c r="BB166" s="273"/>
      <c r="BC166" s="273"/>
      <c r="BD166" s="273"/>
      <c r="BE166" s="273"/>
      <c r="BF166" s="273"/>
      <c r="BG166" s="273"/>
      <c r="BH166" s="273"/>
      <c r="BI166" s="273"/>
      <c r="BJ166" s="273"/>
      <c r="BK166" s="273"/>
      <c r="BL166" s="273"/>
      <c r="BM166" s="273"/>
      <c r="BN166" s="273"/>
    </row>
    <row r="167" spans="1:66" s="250" customFormat="1" x14ac:dyDescent="0.25">
      <c r="A167" s="414"/>
      <c r="B167" s="454"/>
      <c r="C167" s="412"/>
      <c r="D167" s="412"/>
      <c r="E167" s="442"/>
      <c r="F167" s="442"/>
      <c r="G167" s="442"/>
      <c r="H167" s="442"/>
      <c r="I167" s="442"/>
      <c r="J167" s="442"/>
      <c r="K167" s="442"/>
      <c r="L167" s="416"/>
      <c r="M167" s="416"/>
      <c r="N167" s="416"/>
      <c r="O167" s="416"/>
      <c r="P167" s="416"/>
      <c r="Q167" s="398"/>
      <c r="R167" s="398"/>
      <c r="S167" s="398"/>
      <c r="T167" s="398"/>
      <c r="U167" s="457"/>
      <c r="V167" s="393"/>
      <c r="W167" s="392"/>
      <c r="X167" s="390"/>
      <c r="Y167" s="390"/>
      <c r="Z167" s="390"/>
      <c r="AA167" s="390"/>
      <c r="AB167" s="390"/>
      <c r="AC167" s="249"/>
      <c r="AD167" s="249"/>
      <c r="AE167" s="249"/>
      <c r="AF167" s="273"/>
      <c r="AG167" s="273"/>
      <c r="AH167" s="273"/>
      <c r="AI167" s="273"/>
      <c r="AJ167" s="273"/>
      <c r="AK167" s="273"/>
      <c r="AL167" s="273"/>
      <c r="AM167" s="273"/>
      <c r="AN167" s="273"/>
      <c r="AO167" s="273"/>
      <c r="AP167" s="273"/>
      <c r="AQ167" s="273"/>
      <c r="AR167" s="273"/>
      <c r="AS167" s="273"/>
      <c r="AT167" s="273"/>
      <c r="AU167" s="273"/>
      <c r="AV167" s="273"/>
      <c r="AW167" s="273"/>
      <c r="AX167" s="273"/>
      <c r="AY167" s="273"/>
      <c r="AZ167" s="273"/>
      <c r="BA167" s="273"/>
      <c r="BB167" s="273"/>
      <c r="BC167" s="273"/>
      <c r="BD167" s="273"/>
      <c r="BE167" s="273"/>
      <c r="BF167" s="273"/>
      <c r="BG167" s="273"/>
      <c r="BH167" s="273"/>
      <c r="BI167" s="273"/>
      <c r="BJ167" s="273"/>
      <c r="BK167" s="273"/>
      <c r="BL167" s="273"/>
      <c r="BM167" s="273"/>
      <c r="BN167" s="273"/>
    </row>
    <row r="168" spans="1:66" s="250" customFormat="1" x14ac:dyDescent="0.25">
      <c r="A168" s="414"/>
      <c r="B168" s="454"/>
      <c r="C168" s="412"/>
      <c r="D168" s="412"/>
      <c r="E168" s="442"/>
      <c r="F168" s="442"/>
      <c r="G168" s="442"/>
      <c r="H168" s="442"/>
      <c r="I168" s="442"/>
      <c r="J168" s="442"/>
      <c r="K168" s="442"/>
      <c r="L168" s="416"/>
      <c r="M168" s="416"/>
      <c r="N168" s="416"/>
      <c r="O168" s="416"/>
      <c r="P168" s="416"/>
      <c r="Q168" s="398"/>
      <c r="R168" s="398"/>
      <c r="S168" s="398"/>
      <c r="T168" s="398"/>
      <c r="U168" s="457"/>
      <c r="V168" s="393"/>
      <c r="W168" s="392"/>
      <c r="X168" s="390"/>
      <c r="Y168" s="390"/>
      <c r="Z168" s="390"/>
      <c r="AA168" s="390"/>
      <c r="AB168" s="390"/>
      <c r="AC168" s="249"/>
      <c r="AD168" s="249"/>
      <c r="AE168" s="249"/>
      <c r="AF168" s="273"/>
      <c r="AG168" s="273"/>
      <c r="AH168" s="273"/>
      <c r="AI168" s="273"/>
      <c r="AJ168" s="273"/>
      <c r="AK168" s="273"/>
      <c r="AL168" s="273"/>
      <c r="AM168" s="273"/>
      <c r="AN168" s="273"/>
      <c r="AO168" s="273"/>
      <c r="AP168" s="273"/>
      <c r="AQ168" s="273"/>
      <c r="AR168" s="273"/>
      <c r="AS168" s="273"/>
      <c r="AT168" s="273"/>
      <c r="AU168" s="273"/>
      <c r="AV168" s="273"/>
      <c r="AW168" s="273"/>
      <c r="AX168" s="273"/>
      <c r="AY168" s="273"/>
      <c r="AZ168" s="273"/>
      <c r="BA168" s="273"/>
      <c r="BB168" s="273"/>
      <c r="BC168" s="273"/>
      <c r="BD168" s="273"/>
      <c r="BE168" s="273"/>
      <c r="BF168" s="273"/>
      <c r="BG168" s="273"/>
      <c r="BH168" s="273"/>
      <c r="BI168" s="273"/>
      <c r="BJ168" s="273"/>
      <c r="BK168" s="273"/>
      <c r="BL168" s="273"/>
      <c r="BM168" s="273"/>
      <c r="BN168" s="273"/>
    </row>
    <row r="169" spans="1:66" s="250" customFormat="1" x14ac:dyDescent="0.25">
      <c r="A169" s="414"/>
      <c r="B169" s="454"/>
      <c r="C169" s="412"/>
      <c r="D169" s="412"/>
      <c r="E169" s="442"/>
      <c r="F169" s="442"/>
      <c r="G169" s="442"/>
      <c r="H169" s="442"/>
      <c r="I169" s="442"/>
      <c r="J169" s="442"/>
      <c r="K169" s="442"/>
      <c r="L169" s="416"/>
      <c r="M169" s="416"/>
      <c r="N169" s="416"/>
      <c r="O169" s="416"/>
      <c r="P169" s="416"/>
      <c r="Q169" s="398"/>
      <c r="R169" s="398"/>
      <c r="S169" s="398"/>
      <c r="T169" s="398"/>
      <c r="U169" s="457"/>
      <c r="V169" s="393"/>
      <c r="W169" s="392"/>
      <c r="X169" s="390"/>
      <c r="Y169" s="390"/>
      <c r="Z169" s="390"/>
      <c r="AA169" s="390"/>
      <c r="AB169" s="390"/>
      <c r="AC169" s="249"/>
      <c r="AD169" s="249"/>
      <c r="AE169" s="249"/>
      <c r="AF169" s="273"/>
      <c r="AG169" s="273"/>
      <c r="AH169" s="273"/>
      <c r="AI169" s="273"/>
      <c r="AJ169" s="273"/>
      <c r="AK169" s="273"/>
      <c r="AL169" s="273"/>
      <c r="AM169" s="273"/>
      <c r="AN169" s="273"/>
      <c r="AO169" s="273"/>
      <c r="AP169" s="273"/>
      <c r="AQ169" s="273"/>
      <c r="AR169" s="273"/>
      <c r="AS169" s="273"/>
      <c r="AT169" s="273"/>
      <c r="AU169" s="273"/>
      <c r="AV169" s="273"/>
      <c r="AW169" s="273"/>
      <c r="AX169" s="273"/>
      <c r="AY169" s="273"/>
      <c r="AZ169" s="273"/>
      <c r="BA169" s="273"/>
      <c r="BB169" s="273"/>
      <c r="BC169" s="273"/>
      <c r="BD169" s="273"/>
      <c r="BE169" s="273"/>
      <c r="BF169" s="273"/>
      <c r="BG169" s="273"/>
      <c r="BH169" s="273"/>
      <c r="BI169" s="273"/>
      <c r="BJ169" s="273"/>
      <c r="BK169" s="273"/>
      <c r="BL169" s="273"/>
      <c r="BM169" s="273"/>
      <c r="BN169" s="273"/>
    </row>
    <row r="170" spans="1:66" s="250" customFormat="1" x14ac:dyDescent="0.25">
      <c r="A170" s="414"/>
      <c r="B170" s="454"/>
      <c r="C170" s="412"/>
      <c r="D170" s="412"/>
      <c r="E170" s="442"/>
      <c r="F170" s="442"/>
      <c r="G170" s="442"/>
      <c r="H170" s="442"/>
      <c r="I170" s="442"/>
      <c r="J170" s="442"/>
      <c r="K170" s="442"/>
      <c r="L170" s="416"/>
      <c r="M170" s="416"/>
      <c r="N170" s="416"/>
      <c r="O170" s="416"/>
      <c r="P170" s="416"/>
      <c r="Q170" s="398"/>
      <c r="R170" s="398"/>
      <c r="S170" s="398"/>
      <c r="T170" s="398"/>
      <c r="U170" s="457"/>
      <c r="V170" s="393"/>
      <c r="W170" s="392"/>
      <c r="X170" s="390"/>
      <c r="Y170" s="390"/>
      <c r="Z170" s="390"/>
      <c r="AA170" s="390"/>
      <c r="AB170" s="390"/>
      <c r="AC170" s="249"/>
      <c r="AD170" s="249"/>
      <c r="AE170" s="249"/>
      <c r="AF170" s="273"/>
      <c r="AG170" s="273"/>
      <c r="AH170" s="273"/>
      <c r="AI170" s="273"/>
      <c r="AJ170" s="273"/>
      <c r="AK170" s="273"/>
      <c r="AL170" s="273"/>
      <c r="AM170" s="273"/>
      <c r="AN170" s="273"/>
      <c r="AO170" s="273"/>
      <c r="AP170" s="273"/>
      <c r="AQ170" s="273"/>
      <c r="AR170" s="273"/>
      <c r="AS170" s="273"/>
      <c r="AT170" s="273"/>
      <c r="AU170" s="273"/>
      <c r="AV170" s="273"/>
      <c r="AW170" s="273"/>
      <c r="AX170" s="273"/>
      <c r="AY170" s="273"/>
      <c r="AZ170" s="273"/>
      <c r="BA170" s="273"/>
      <c r="BB170" s="273"/>
      <c r="BC170" s="273"/>
      <c r="BD170" s="273"/>
      <c r="BE170" s="273"/>
      <c r="BF170" s="273"/>
      <c r="BG170" s="273"/>
      <c r="BH170" s="273"/>
      <c r="BI170" s="273"/>
      <c r="BJ170" s="273"/>
      <c r="BK170" s="273"/>
      <c r="BL170" s="273"/>
      <c r="BM170" s="273"/>
      <c r="BN170" s="273"/>
    </row>
    <row r="171" spans="1:66" s="250" customFormat="1" x14ac:dyDescent="0.25">
      <c r="A171" s="414"/>
      <c r="B171" s="454"/>
      <c r="C171" s="412"/>
      <c r="D171" s="412"/>
      <c r="E171" s="442"/>
      <c r="F171" s="442"/>
      <c r="G171" s="442"/>
      <c r="H171" s="442"/>
      <c r="I171" s="442"/>
      <c r="J171" s="442"/>
      <c r="K171" s="442"/>
      <c r="L171" s="416"/>
      <c r="M171" s="416"/>
      <c r="N171" s="416"/>
      <c r="O171" s="416"/>
      <c r="P171" s="416"/>
      <c r="Q171" s="398"/>
      <c r="R171" s="398"/>
      <c r="S171" s="398"/>
      <c r="T171" s="398"/>
      <c r="U171" s="457"/>
      <c r="V171" s="393"/>
      <c r="W171" s="392"/>
      <c r="X171" s="390"/>
      <c r="Y171" s="390"/>
      <c r="Z171" s="390"/>
      <c r="AA171" s="390"/>
      <c r="AB171" s="390"/>
      <c r="AC171" s="249"/>
      <c r="AD171" s="249"/>
      <c r="AE171" s="249"/>
      <c r="AF171" s="273"/>
      <c r="AG171" s="273"/>
      <c r="AH171" s="273"/>
      <c r="AI171" s="273"/>
      <c r="AJ171" s="273"/>
      <c r="AK171" s="273"/>
      <c r="AL171" s="273"/>
      <c r="AM171" s="273"/>
      <c r="AN171" s="273"/>
      <c r="AO171" s="273"/>
      <c r="AP171" s="273"/>
      <c r="AQ171" s="273"/>
      <c r="AR171" s="273"/>
      <c r="AS171" s="273"/>
      <c r="AT171" s="273"/>
      <c r="AU171" s="273"/>
      <c r="AV171" s="273"/>
      <c r="AW171" s="273"/>
      <c r="AX171" s="273"/>
      <c r="AY171" s="273"/>
      <c r="AZ171" s="273"/>
      <c r="BA171" s="273"/>
      <c r="BB171" s="273"/>
      <c r="BC171" s="273"/>
      <c r="BD171" s="273"/>
      <c r="BE171" s="273"/>
      <c r="BF171" s="273"/>
      <c r="BG171" s="273"/>
      <c r="BH171" s="273"/>
      <c r="BI171" s="273"/>
      <c r="BJ171" s="273"/>
      <c r="BK171" s="273"/>
      <c r="BL171" s="273"/>
      <c r="BM171" s="273"/>
      <c r="BN171" s="273"/>
    </row>
    <row r="172" spans="1:66" s="250" customFormat="1" x14ac:dyDescent="0.25">
      <c r="A172" s="414"/>
      <c r="B172" s="454"/>
      <c r="C172" s="412"/>
      <c r="D172" s="412"/>
      <c r="E172" s="442"/>
      <c r="F172" s="442"/>
      <c r="G172" s="442"/>
      <c r="H172" s="442"/>
      <c r="I172" s="442"/>
      <c r="J172" s="442"/>
      <c r="K172" s="442"/>
      <c r="L172" s="416"/>
      <c r="M172" s="416"/>
      <c r="N172" s="416"/>
      <c r="O172" s="416"/>
      <c r="P172" s="416"/>
      <c r="Q172" s="398"/>
      <c r="R172" s="398"/>
      <c r="S172" s="398"/>
      <c r="T172" s="398"/>
      <c r="U172" s="457"/>
      <c r="V172" s="393"/>
      <c r="W172" s="392"/>
      <c r="X172" s="390"/>
      <c r="Y172" s="390"/>
      <c r="Z172" s="390"/>
      <c r="AA172" s="390"/>
      <c r="AB172" s="390"/>
      <c r="AC172" s="249"/>
      <c r="AD172" s="249"/>
      <c r="AE172" s="249"/>
      <c r="AF172" s="273"/>
      <c r="AG172" s="273"/>
      <c r="AH172" s="273"/>
      <c r="AI172" s="273"/>
      <c r="AJ172" s="273"/>
      <c r="AK172" s="273"/>
      <c r="AL172" s="273"/>
      <c r="AM172" s="273"/>
      <c r="AN172" s="273"/>
      <c r="AO172" s="273"/>
      <c r="AP172" s="273"/>
      <c r="AQ172" s="273"/>
      <c r="AR172" s="273"/>
      <c r="AS172" s="273"/>
      <c r="AT172" s="273"/>
      <c r="AU172" s="273"/>
      <c r="AV172" s="273"/>
      <c r="AW172" s="273"/>
      <c r="AX172" s="273"/>
      <c r="AY172" s="273"/>
      <c r="AZ172" s="273"/>
      <c r="BA172" s="273"/>
      <c r="BB172" s="273"/>
      <c r="BC172" s="273"/>
      <c r="BD172" s="273"/>
      <c r="BE172" s="273"/>
      <c r="BF172" s="273"/>
      <c r="BG172" s="273"/>
      <c r="BH172" s="273"/>
      <c r="BI172" s="273"/>
      <c r="BJ172" s="273"/>
      <c r="BK172" s="273"/>
      <c r="BL172" s="273"/>
      <c r="BM172" s="273"/>
      <c r="BN172" s="273"/>
    </row>
    <row r="173" spans="1:66" s="250" customFormat="1" x14ac:dyDescent="0.25">
      <c r="A173" s="414"/>
      <c r="B173" s="454"/>
      <c r="C173" s="412"/>
      <c r="D173" s="412"/>
      <c r="E173" s="442"/>
      <c r="F173" s="442"/>
      <c r="G173" s="442"/>
      <c r="H173" s="442"/>
      <c r="I173" s="442"/>
      <c r="J173" s="442"/>
      <c r="K173" s="442"/>
      <c r="L173" s="416"/>
      <c r="M173" s="416"/>
      <c r="N173" s="416"/>
      <c r="O173" s="416"/>
      <c r="P173" s="416"/>
      <c r="Q173" s="398"/>
      <c r="R173" s="398"/>
      <c r="S173" s="398"/>
      <c r="T173" s="398"/>
      <c r="U173" s="457"/>
      <c r="V173" s="393"/>
      <c r="W173" s="392"/>
      <c r="X173" s="390"/>
      <c r="Y173" s="390"/>
      <c r="Z173" s="390"/>
      <c r="AA173" s="390"/>
      <c r="AB173" s="390"/>
      <c r="AC173" s="249"/>
      <c r="AD173" s="249"/>
      <c r="AE173" s="249"/>
      <c r="AF173" s="273"/>
      <c r="AG173" s="273"/>
      <c r="AH173" s="273"/>
      <c r="AI173" s="273"/>
      <c r="AJ173" s="273"/>
      <c r="AK173" s="273"/>
      <c r="AL173" s="273"/>
      <c r="AM173" s="273"/>
      <c r="AN173" s="273"/>
      <c r="AO173" s="273"/>
      <c r="AP173" s="273"/>
      <c r="AQ173" s="273"/>
      <c r="AR173" s="273"/>
      <c r="AS173" s="273"/>
      <c r="AT173" s="273"/>
      <c r="AU173" s="273"/>
      <c r="AV173" s="273"/>
      <c r="AW173" s="273"/>
      <c r="AX173" s="273"/>
      <c r="AY173" s="273"/>
      <c r="AZ173" s="273"/>
      <c r="BA173" s="273"/>
      <c r="BB173" s="273"/>
      <c r="BC173" s="273"/>
      <c r="BD173" s="273"/>
      <c r="BE173" s="273"/>
      <c r="BF173" s="273"/>
      <c r="BG173" s="273"/>
      <c r="BH173" s="273"/>
      <c r="BI173" s="273"/>
      <c r="BJ173" s="273"/>
      <c r="BK173" s="273"/>
      <c r="BL173" s="273"/>
      <c r="BM173" s="273"/>
      <c r="BN173" s="273"/>
    </row>
    <row r="174" spans="1:66" s="250" customFormat="1" x14ac:dyDescent="0.25">
      <c r="A174" s="414"/>
      <c r="B174" s="454"/>
      <c r="C174" s="412"/>
      <c r="D174" s="412"/>
      <c r="E174" s="442"/>
      <c r="F174" s="442"/>
      <c r="G174" s="442"/>
      <c r="H174" s="442"/>
      <c r="I174" s="442"/>
      <c r="J174" s="442"/>
      <c r="K174" s="442"/>
      <c r="L174" s="416"/>
      <c r="M174" s="416"/>
      <c r="N174" s="416"/>
      <c r="O174" s="416"/>
      <c r="P174" s="416"/>
      <c r="Q174" s="398"/>
      <c r="R174" s="398"/>
      <c r="S174" s="398"/>
      <c r="T174" s="398"/>
      <c r="U174" s="457"/>
      <c r="V174" s="393"/>
      <c r="W174" s="392"/>
      <c r="X174" s="390"/>
      <c r="Y174" s="390"/>
      <c r="Z174" s="390"/>
      <c r="AA174" s="390"/>
      <c r="AB174" s="390"/>
      <c r="AC174" s="249"/>
      <c r="AD174" s="249"/>
      <c r="AE174" s="249"/>
      <c r="AF174" s="273"/>
      <c r="AG174" s="273"/>
      <c r="AH174" s="273"/>
      <c r="AI174" s="273"/>
      <c r="AJ174" s="273"/>
      <c r="AK174" s="273"/>
      <c r="AL174" s="273"/>
      <c r="AM174" s="273"/>
      <c r="AN174" s="273"/>
      <c r="AO174" s="273"/>
      <c r="AP174" s="273"/>
      <c r="AQ174" s="273"/>
      <c r="AR174" s="273"/>
      <c r="AS174" s="273"/>
      <c r="AT174" s="273"/>
      <c r="AU174" s="273"/>
      <c r="AV174" s="273"/>
      <c r="AW174" s="273"/>
      <c r="AX174" s="273"/>
      <c r="AY174" s="273"/>
      <c r="AZ174" s="273"/>
      <c r="BA174" s="273"/>
      <c r="BB174" s="273"/>
      <c r="BC174" s="273"/>
      <c r="BD174" s="273"/>
      <c r="BE174" s="273"/>
      <c r="BF174" s="273"/>
      <c r="BG174" s="273"/>
      <c r="BH174" s="273"/>
      <c r="BI174" s="273"/>
      <c r="BJ174" s="273"/>
      <c r="BK174" s="273"/>
      <c r="BL174" s="273"/>
      <c r="BM174" s="273"/>
      <c r="BN174" s="273"/>
    </row>
    <row r="175" spans="1:66" s="250" customFormat="1" x14ac:dyDescent="0.25">
      <c r="A175" s="414"/>
      <c r="B175" s="454"/>
      <c r="C175" s="412"/>
      <c r="D175" s="412"/>
      <c r="E175" s="442"/>
      <c r="F175" s="442"/>
      <c r="G175" s="442"/>
      <c r="H175" s="442"/>
      <c r="I175" s="442"/>
      <c r="J175" s="442"/>
      <c r="K175" s="442"/>
      <c r="L175" s="416"/>
      <c r="M175" s="416"/>
      <c r="N175" s="416"/>
      <c r="O175" s="416"/>
      <c r="P175" s="416"/>
      <c r="Q175" s="398"/>
      <c r="R175" s="398"/>
      <c r="S175" s="398"/>
      <c r="T175" s="398"/>
      <c r="U175" s="457"/>
      <c r="V175" s="393"/>
      <c r="W175" s="392"/>
      <c r="X175" s="390"/>
      <c r="Y175" s="390"/>
      <c r="Z175" s="390"/>
      <c r="AA175" s="390"/>
      <c r="AB175" s="390"/>
      <c r="AC175" s="249"/>
      <c r="AD175" s="249"/>
      <c r="AE175" s="249"/>
      <c r="AF175" s="273"/>
      <c r="AG175" s="273"/>
      <c r="AH175" s="273"/>
      <c r="AI175" s="273"/>
      <c r="AJ175" s="273"/>
      <c r="AK175" s="273"/>
      <c r="AL175" s="273"/>
      <c r="AM175" s="273"/>
      <c r="AN175" s="273"/>
      <c r="AO175" s="273"/>
      <c r="AP175" s="273"/>
      <c r="AQ175" s="273"/>
      <c r="AR175" s="273"/>
      <c r="AS175" s="273"/>
      <c r="AT175" s="273"/>
      <c r="AU175" s="273"/>
      <c r="AV175" s="273"/>
      <c r="AW175" s="273"/>
      <c r="AX175" s="273"/>
      <c r="AY175" s="273"/>
      <c r="AZ175" s="273"/>
      <c r="BA175" s="273"/>
      <c r="BB175" s="273"/>
      <c r="BC175" s="273"/>
      <c r="BD175" s="273"/>
      <c r="BE175" s="273"/>
      <c r="BF175" s="273"/>
      <c r="BG175" s="273"/>
      <c r="BH175" s="273"/>
      <c r="BI175" s="273"/>
      <c r="BJ175" s="273"/>
      <c r="BK175" s="273"/>
      <c r="BL175" s="273"/>
      <c r="BM175" s="273"/>
      <c r="BN175" s="273"/>
    </row>
    <row r="176" spans="1:66" s="250" customFormat="1" x14ac:dyDescent="0.25">
      <c r="A176" s="414"/>
      <c r="B176" s="454"/>
      <c r="C176" s="412"/>
      <c r="D176" s="412"/>
      <c r="E176" s="442"/>
      <c r="F176" s="442"/>
      <c r="G176" s="442"/>
      <c r="H176" s="442"/>
      <c r="I176" s="442"/>
      <c r="J176" s="442"/>
      <c r="K176" s="442"/>
      <c r="L176" s="416"/>
      <c r="M176" s="416"/>
      <c r="N176" s="416"/>
      <c r="O176" s="416"/>
      <c r="P176" s="416"/>
      <c r="Q176" s="398"/>
      <c r="R176" s="398"/>
      <c r="S176" s="398"/>
      <c r="T176" s="398"/>
      <c r="U176" s="457"/>
      <c r="V176" s="393"/>
      <c r="W176" s="392"/>
      <c r="X176" s="390"/>
      <c r="Y176" s="390"/>
      <c r="Z176" s="390"/>
      <c r="AA176" s="390"/>
      <c r="AB176" s="390"/>
      <c r="AC176" s="249"/>
      <c r="AD176" s="249"/>
      <c r="AE176" s="249"/>
      <c r="AF176" s="273"/>
      <c r="AG176" s="273"/>
      <c r="AH176" s="273"/>
      <c r="AI176" s="273"/>
      <c r="AJ176" s="273"/>
      <c r="AK176" s="273"/>
      <c r="AL176" s="273"/>
      <c r="AM176" s="273"/>
      <c r="AN176" s="273"/>
      <c r="AO176" s="273"/>
      <c r="AP176" s="273"/>
      <c r="AQ176" s="273"/>
      <c r="AR176" s="273"/>
      <c r="AS176" s="273"/>
      <c r="AT176" s="273"/>
      <c r="AU176" s="273"/>
      <c r="AV176" s="273"/>
      <c r="AW176" s="273"/>
      <c r="AX176" s="273"/>
      <c r="AY176" s="273"/>
      <c r="AZ176" s="273"/>
      <c r="BA176" s="273"/>
      <c r="BB176" s="273"/>
      <c r="BC176" s="273"/>
      <c r="BD176" s="273"/>
      <c r="BE176" s="273"/>
      <c r="BF176" s="273"/>
      <c r="BG176" s="273"/>
      <c r="BH176" s="273"/>
      <c r="BI176" s="273"/>
      <c r="BJ176" s="273"/>
      <c r="BK176" s="273"/>
      <c r="BL176" s="273"/>
      <c r="BM176" s="273"/>
      <c r="BN176" s="273"/>
    </row>
    <row r="177" spans="1:66" s="250" customFormat="1" x14ac:dyDescent="0.25">
      <c r="A177" s="414"/>
      <c r="B177" s="454"/>
      <c r="C177" s="412"/>
      <c r="D177" s="412"/>
      <c r="E177" s="442"/>
      <c r="F177" s="442"/>
      <c r="G177" s="442"/>
      <c r="H177" s="442"/>
      <c r="I177" s="442"/>
      <c r="J177" s="442"/>
      <c r="K177" s="442"/>
      <c r="L177" s="416"/>
      <c r="M177" s="416"/>
      <c r="N177" s="416"/>
      <c r="O177" s="416"/>
      <c r="P177" s="416"/>
      <c r="Q177" s="398"/>
      <c r="R177" s="398"/>
      <c r="S177" s="398"/>
      <c r="T177" s="398"/>
      <c r="U177" s="457"/>
      <c r="V177" s="393"/>
      <c r="W177" s="392"/>
      <c r="X177" s="390"/>
      <c r="Y177" s="390"/>
      <c r="Z177" s="390"/>
      <c r="AA177" s="390"/>
      <c r="AB177" s="390"/>
      <c r="AC177" s="249"/>
      <c r="AD177" s="249"/>
      <c r="AE177" s="249"/>
      <c r="AF177" s="273"/>
      <c r="AG177" s="273"/>
      <c r="AH177" s="273"/>
      <c r="AI177" s="273"/>
      <c r="AJ177" s="273"/>
      <c r="AK177" s="273"/>
      <c r="AL177" s="273"/>
      <c r="AM177" s="273"/>
      <c r="AN177" s="273"/>
      <c r="AO177" s="273"/>
      <c r="AP177" s="273"/>
      <c r="AQ177" s="273"/>
      <c r="AR177" s="273"/>
      <c r="AS177" s="273"/>
      <c r="AT177" s="273"/>
      <c r="AU177" s="273"/>
      <c r="AV177" s="273"/>
      <c r="AW177" s="273"/>
      <c r="AX177" s="273"/>
      <c r="AY177" s="273"/>
      <c r="AZ177" s="273"/>
      <c r="BA177" s="273"/>
      <c r="BB177" s="273"/>
      <c r="BC177" s="273"/>
      <c r="BD177" s="273"/>
      <c r="BE177" s="273"/>
      <c r="BF177" s="273"/>
      <c r="BG177" s="273"/>
      <c r="BH177" s="273"/>
      <c r="BI177" s="273"/>
      <c r="BJ177" s="273"/>
      <c r="BK177" s="273"/>
      <c r="BL177" s="273"/>
      <c r="BM177" s="273"/>
      <c r="BN177" s="273"/>
    </row>
    <row r="178" spans="1:66" s="250" customFormat="1" x14ac:dyDescent="0.25">
      <c r="A178" s="414"/>
      <c r="B178" s="454"/>
      <c r="C178" s="412"/>
      <c r="D178" s="412"/>
      <c r="E178" s="442"/>
      <c r="F178" s="442"/>
      <c r="G178" s="442"/>
      <c r="H178" s="442"/>
      <c r="I178" s="442"/>
      <c r="J178" s="442"/>
      <c r="K178" s="442"/>
      <c r="L178" s="416"/>
      <c r="M178" s="416"/>
      <c r="N178" s="416"/>
      <c r="O178" s="416"/>
      <c r="P178" s="416"/>
      <c r="Q178" s="398"/>
      <c r="R178" s="398"/>
      <c r="S178" s="398"/>
      <c r="T178" s="398"/>
      <c r="U178" s="457"/>
      <c r="V178" s="393"/>
      <c r="W178" s="392"/>
      <c r="X178" s="390"/>
      <c r="Y178" s="390"/>
      <c r="Z178" s="390"/>
      <c r="AA178" s="390"/>
      <c r="AB178" s="390"/>
      <c r="AC178" s="249"/>
      <c r="AD178" s="249"/>
      <c r="AE178" s="249"/>
      <c r="AF178" s="273"/>
      <c r="AG178" s="273"/>
      <c r="AH178" s="273"/>
      <c r="AI178" s="273"/>
      <c r="AJ178" s="273"/>
      <c r="AK178" s="273"/>
      <c r="AL178" s="273"/>
      <c r="AM178" s="273"/>
      <c r="AN178" s="273"/>
      <c r="AO178" s="273"/>
      <c r="AP178" s="273"/>
      <c r="AQ178" s="273"/>
      <c r="AR178" s="273"/>
      <c r="AS178" s="273"/>
      <c r="AT178" s="273"/>
      <c r="AU178" s="273"/>
      <c r="AV178" s="273"/>
      <c r="AW178" s="273"/>
      <c r="AX178" s="273"/>
      <c r="AY178" s="273"/>
      <c r="AZ178" s="273"/>
      <c r="BA178" s="273"/>
      <c r="BB178" s="273"/>
      <c r="BC178" s="273"/>
      <c r="BD178" s="273"/>
      <c r="BE178" s="273"/>
      <c r="BF178" s="273"/>
      <c r="BG178" s="273"/>
      <c r="BH178" s="273"/>
      <c r="BI178" s="273"/>
      <c r="BJ178" s="273"/>
      <c r="BK178" s="273"/>
      <c r="BL178" s="273"/>
      <c r="BM178" s="273"/>
      <c r="BN178" s="273"/>
    </row>
    <row r="179" spans="1:66" s="250" customFormat="1" x14ac:dyDescent="0.25">
      <c r="A179" s="414"/>
      <c r="B179" s="454"/>
      <c r="C179" s="412"/>
      <c r="D179" s="412"/>
      <c r="E179" s="442"/>
      <c r="F179" s="442"/>
      <c r="G179" s="442"/>
      <c r="H179" s="442"/>
      <c r="I179" s="442"/>
      <c r="J179" s="442"/>
      <c r="K179" s="442"/>
      <c r="L179" s="416"/>
      <c r="M179" s="416"/>
      <c r="N179" s="416"/>
      <c r="O179" s="416"/>
      <c r="P179" s="416"/>
      <c r="Q179" s="398"/>
      <c r="R179" s="398"/>
      <c r="S179" s="398"/>
      <c r="T179" s="398"/>
      <c r="U179" s="457"/>
      <c r="V179" s="393"/>
      <c r="W179" s="392"/>
      <c r="X179" s="390"/>
      <c r="Y179" s="390"/>
      <c r="Z179" s="390"/>
      <c r="AA179" s="390"/>
      <c r="AB179" s="390"/>
      <c r="AC179" s="249"/>
      <c r="AD179" s="249"/>
      <c r="AE179" s="249"/>
      <c r="AF179" s="273"/>
      <c r="AG179" s="273"/>
      <c r="AH179" s="273"/>
      <c r="AI179" s="273"/>
      <c r="AJ179" s="273"/>
      <c r="AK179" s="273"/>
      <c r="AL179" s="273"/>
      <c r="AM179" s="273"/>
      <c r="AN179" s="273"/>
      <c r="AO179" s="273"/>
      <c r="AP179" s="273"/>
      <c r="AQ179" s="273"/>
      <c r="AR179" s="273"/>
      <c r="AS179" s="273"/>
      <c r="AT179" s="273"/>
      <c r="AU179" s="273"/>
      <c r="AV179" s="273"/>
      <c r="AW179" s="273"/>
      <c r="AX179" s="273"/>
      <c r="AY179" s="273"/>
      <c r="AZ179" s="273"/>
      <c r="BA179" s="273"/>
      <c r="BB179" s="273"/>
      <c r="BC179" s="273"/>
      <c r="BD179" s="273"/>
      <c r="BE179" s="273"/>
      <c r="BF179" s="273"/>
      <c r="BG179" s="273"/>
      <c r="BH179" s="273"/>
      <c r="BI179" s="273"/>
      <c r="BJ179" s="273"/>
      <c r="BK179" s="273"/>
      <c r="BL179" s="273"/>
      <c r="BM179" s="273"/>
      <c r="BN179" s="273"/>
    </row>
    <row r="180" spans="1:66" s="250" customFormat="1" x14ac:dyDescent="0.25">
      <c r="A180" s="414"/>
      <c r="B180" s="454"/>
      <c r="C180" s="412"/>
      <c r="D180" s="412"/>
      <c r="E180" s="442"/>
      <c r="F180" s="442"/>
      <c r="G180" s="442"/>
      <c r="H180" s="442"/>
      <c r="I180" s="442"/>
      <c r="J180" s="442"/>
      <c r="K180" s="442"/>
      <c r="L180" s="416"/>
      <c r="M180" s="416"/>
      <c r="N180" s="416"/>
      <c r="O180" s="416"/>
      <c r="P180" s="416"/>
      <c r="Q180" s="398"/>
      <c r="R180" s="398"/>
      <c r="S180" s="398"/>
      <c r="T180" s="398"/>
      <c r="U180" s="457"/>
      <c r="V180" s="393"/>
      <c r="W180" s="392"/>
      <c r="X180" s="390"/>
      <c r="Y180" s="390"/>
      <c r="Z180" s="390"/>
      <c r="AA180" s="390"/>
      <c r="AB180" s="390"/>
      <c r="AC180" s="249"/>
      <c r="AD180" s="249"/>
      <c r="AE180" s="249"/>
      <c r="AF180" s="273"/>
      <c r="AG180" s="273"/>
      <c r="AH180" s="273"/>
      <c r="AI180" s="273"/>
      <c r="AJ180" s="273"/>
      <c r="AK180" s="273"/>
      <c r="AL180" s="273"/>
      <c r="AM180" s="273"/>
      <c r="AN180" s="273"/>
      <c r="AO180" s="273"/>
      <c r="AP180" s="273"/>
      <c r="AQ180" s="273"/>
      <c r="AR180" s="273"/>
      <c r="AS180" s="273"/>
      <c r="AT180" s="273"/>
      <c r="AU180" s="273"/>
      <c r="AV180" s="273"/>
      <c r="AW180" s="273"/>
      <c r="AX180" s="273"/>
      <c r="AY180" s="273"/>
      <c r="AZ180" s="273"/>
      <c r="BA180" s="273"/>
      <c r="BB180" s="273"/>
      <c r="BC180" s="273"/>
      <c r="BD180" s="273"/>
      <c r="BE180" s="273"/>
      <c r="BF180" s="273"/>
      <c r="BG180" s="273"/>
      <c r="BH180" s="273"/>
      <c r="BI180" s="273"/>
      <c r="BJ180" s="273"/>
      <c r="BK180" s="273"/>
      <c r="BL180" s="273"/>
      <c r="BM180" s="273"/>
      <c r="BN180" s="273"/>
    </row>
    <row r="181" spans="1:66" s="250" customFormat="1" x14ac:dyDescent="0.25">
      <c r="A181" s="414"/>
      <c r="B181" s="454"/>
      <c r="C181" s="412"/>
      <c r="D181" s="412"/>
      <c r="E181" s="442"/>
      <c r="F181" s="442"/>
      <c r="G181" s="442"/>
      <c r="H181" s="442"/>
      <c r="I181" s="442"/>
      <c r="J181" s="442"/>
      <c r="K181" s="442"/>
      <c r="L181" s="416"/>
      <c r="M181" s="416"/>
      <c r="N181" s="416"/>
      <c r="O181" s="416"/>
      <c r="P181" s="416"/>
      <c r="Q181" s="398"/>
      <c r="R181" s="398"/>
      <c r="S181" s="398"/>
      <c r="T181" s="398"/>
      <c r="U181" s="457"/>
      <c r="V181" s="393"/>
      <c r="W181" s="392"/>
      <c r="X181" s="390"/>
      <c r="Y181" s="390"/>
      <c r="Z181" s="390"/>
      <c r="AA181" s="390"/>
      <c r="AB181" s="390"/>
      <c r="AC181" s="249"/>
      <c r="AD181" s="249"/>
      <c r="AE181" s="249"/>
      <c r="AF181" s="273"/>
      <c r="AG181" s="273"/>
      <c r="AH181" s="273"/>
      <c r="AI181" s="273"/>
      <c r="AJ181" s="273"/>
      <c r="AK181" s="273"/>
      <c r="AL181" s="273"/>
      <c r="AM181" s="273"/>
      <c r="AN181" s="273"/>
      <c r="AO181" s="273"/>
      <c r="AP181" s="273"/>
      <c r="AQ181" s="273"/>
      <c r="AR181" s="273"/>
      <c r="AS181" s="273"/>
      <c r="AT181" s="273"/>
      <c r="AU181" s="273"/>
      <c r="AV181" s="273"/>
      <c r="AW181" s="273"/>
      <c r="AX181" s="273"/>
      <c r="AY181" s="273"/>
      <c r="AZ181" s="273"/>
      <c r="BA181" s="273"/>
      <c r="BB181" s="273"/>
      <c r="BC181" s="273"/>
      <c r="BD181" s="273"/>
      <c r="BE181" s="273"/>
      <c r="BF181" s="273"/>
      <c r="BG181" s="273"/>
      <c r="BH181" s="273"/>
      <c r="BI181" s="273"/>
      <c r="BJ181" s="273"/>
      <c r="BK181" s="273"/>
      <c r="BL181" s="273"/>
      <c r="BM181" s="273"/>
      <c r="BN181" s="273"/>
    </row>
    <row r="182" spans="1:66" s="250" customFormat="1" x14ac:dyDescent="0.25">
      <c r="A182" s="414"/>
      <c r="B182" s="454"/>
      <c r="C182" s="412"/>
      <c r="D182" s="412"/>
      <c r="E182" s="442"/>
      <c r="F182" s="442"/>
      <c r="G182" s="442"/>
      <c r="H182" s="442"/>
      <c r="I182" s="442"/>
      <c r="J182" s="442"/>
      <c r="K182" s="442"/>
      <c r="L182" s="416"/>
      <c r="M182" s="416"/>
      <c r="N182" s="416"/>
      <c r="O182" s="416"/>
      <c r="P182" s="416"/>
      <c r="Q182" s="398"/>
      <c r="R182" s="398"/>
      <c r="S182" s="398"/>
      <c r="T182" s="398"/>
      <c r="U182" s="457"/>
      <c r="V182" s="393"/>
      <c r="W182" s="392"/>
      <c r="X182" s="390"/>
      <c r="Y182" s="390"/>
      <c r="Z182" s="390"/>
      <c r="AA182" s="390"/>
      <c r="AB182" s="390"/>
      <c r="AC182" s="249"/>
      <c r="AD182" s="249"/>
      <c r="AE182" s="249"/>
      <c r="AF182" s="273"/>
      <c r="AG182" s="273"/>
      <c r="AH182" s="273"/>
      <c r="AI182" s="273"/>
      <c r="AJ182" s="273"/>
      <c r="AK182" s="273"/>
      <c r="AL182" s="273"/>
      <c r="AM182" s="273"/>
      <c r="AN182" s="273"/>
      <c r="AO182" s="273"/>
      <c r="AP182" s="273"/>
      <c r="AQ182" s="273"/>
      <c r="AR182" s="273"/>
      <c r="AS182" s="273"/>
      <c r="AT182" s="273"/>
      <c r="AU182" s="273"/>
      <c r="AV182" s="273"/>
      <c r="AW182" s="273"/>
      <c r="AX182" s="273"/>
      <c r="AY182" s="273"/>
      <c r="AZ182" s="273"/>
      <c r="BA182" s="273"/>
      <c r="BB182" s="273"/>
      <c r="BC182" s="273"/>
      <c r="BD182" s="273"/>
      <c r="BE182" s="273"/>
      <c r="BF182" s="273"/>
      <c r="BG182" s="273"/>
      <c r="BH182" s="273"/>
      <c r="BI182" s="273"/>
      <c r="BJ182" s="273"/>
      <c r="BK182" s="273"/>
      <c r="BL182" s="273"/>
      <c r="BM182" s="273"/>
      <c r="BN182" s="273"/>
    </row>
    <row r="183" spans="1:66" s="250" customFormat="1" x14ac:dyDescent="0.25">
      <c r="A183" s="414"/>
      <c r="B183" s="454"/>
      <c r="C183" s="412"/>
      <c r="D183" s="412"/>
      <c r="E183" s="442"/>
      <c r="F183" s="442"/>
      <c r="G183" s="442"/>
      <c r="H183" s="442"/>
      <c r="I183" s="442"/>
      <c r="J183" s="442"/>
      <c r="K183" s="442"/>
      <c r="L183" s="416"/>
      <c r="M183" s="416"/>
      <c r="N183" s="416"/>
      <c r="O183" s="416"/>
      <c r="P183" s="416"/>
      <c r="Q183" s="398"/>
      <c r="R183" s="398"/>
      <c r="S183" s="398"/>
      <c r="T183" s="398"/>
      <c r="U183" s="457"/>
      <c r="V183" s="393"/>
      <c r="W183" s="392"/>
      <c r="X183" s="390"/>
      <c r="Y183" s="390"/>
      <c r="Z183" s="390"/>
      <c r="AA183" s="390"/>
      <c r="AB183" s="390"/>
      <c r="AC183" s="249"/>
      <c r="AD183" s="249"/>
      <c r="AE183" s="249"/>
      <c r="AF183" s="273"/>
      <c r="AG183" s="273"/>
      <c r="AH183" s="273"/>
      <c r="AI183" s="273"/>
      <c r="AJ183" s="273"/>
      <c r="AK183" s="273"/>
      <c r="AL183" s="273"/>
      <c r="AM183" s="273"/>
      <c r="AN183" s="273"/>
      <c r="AO183" s="273"/>
      <c r="AP183" s="273"/>
      <c r="AQ183" s="273"/>
      <c r="AR183" s="273"/>
      <c r="AS183" s="273"/>
      <c r="AT183" s="273"/>
      <c r="AU183" s="273"/>
      <c r="AV183" s="273"/>
      <c r="AW183" s="273"/>
      <c r="AX183" s="273"/>
      <c r="AY183" s="273"/>
      <c r="AZ183" s="273"/>
      <c r="BA183" s="273"/>
      <c r="BB183" s="273"/>
      <c r="BC183" s="273"/>
      <c r="BD183" s="273"/>
      <c r="BE183" s="273"/>
      <c r="BF183" s="273"/>
      <c r="BG183" s="273"/>
      <c r="BH183" s="273"/>
      <c r="BI183" s="273"/>
      <c r="BJ183" s="273"/>
      <c r="BK183" s="273"/>
      <c r="BL183" s="273"/>
      <c r="BM183" s="273"/>
      <c r="BN183" s="273"/>
    </row>
    <row r="184" spans="1:66" s="250" customFormat="1" x14ac:dyDescent="0.25">
      <c r="A184" s="414"/>
      <c r="B184" s="454"/>
      <c r="C184" s="412"/>
      <c r="D184" s="412"/>
      <c r="E184" s="442"/>
      <c r="F184" s="442"/>
      <c r="G184" s="442"/>
      <c r="H184" s="442"/>
      <c r="I184" s="442"/>
      <c r="J184" s="442"/>
      <c r="K184" s="442"/>
      <c r="L184" s="416"/>
      <c r="M184" s="416"/>
      <c r="N184" s="416"/>
      <c r="O184" s="416"/>
      <c r="P184" s="416"/>
      <c r="Q184" s="398"/>
      <c r="R184" s="398"/>
      <c r="S184" s="398"/>
      <c r="T184" s="398"/>
      <c r="U184" s="457"/>
      <c r="V184" s="393"/>
      <c r="W184" s="392"/>
      <c r="X184" s="390"/>
      <c r="Y184" s="390"/>
      <c r="Z184" s="390"/>
      <c r="AA184" s="390"/>
      <c r="AB184" s="390"/>
      <c r="AC184" s="249"/>
      <c r="AD184" s="249"/>
      <c r="AE184" s="249"/>
      <c r="AF184" s="273"/>
      <c r="AG184" s="273"/>
      <c r="AH184" s="273"/>
      <c r="AI184" s="273"/>
      <c r="AJ184" s="273"/>
      <c r="AK184" s="273"/>
      <c r="AL184" s="273"/>
      <c r="AM184" s="273"/>
      <c r="AN184" s="273"/>
      <c r="AO184" s="273"/>
      <c r="AP184" s="273"/>
      <c r="AQ184" s="273"/>
      <c r="AR184" s="273"/>
      <c r="AS184" s="273"/>
      <c r="AT184" s="273"/>
      <c r="AU184" s="273"/>
      <c r="AV184" s="273"/>
      <c r="AW184" s="273"/>
      <c r="AX184" s="273"/>
      <c r="AY184" s="273"/>
      <c r="AZ184" s="273"/>
      <c r="BA184" s="273"/>
      <c r="BB184" s="273"/>
      <c r="BC184" s="273"/>
      <c r="BD184" s="273"/>
      <c r="BE184" s="273"/>
      <c r="BF184" s="273"/>
      <c r="BG184" s="273"/>
      <c r="BH184" s="273"/>
      <c r="BI184" s="273"/>
      <c r="BJ184" s="273"/>
      <c r="BK184" s="273"/>
      <c r="BL184" s="273"/>
      <c r="BM184" s="273"/>
      <c r="BN184" s="273"/>
    </row>
    <row r="185" spans="1:66" s="250" customFormat="1" x14ac:dyDescent="0.25">
      <c r="A185" s="414"/>
      <c r="B185" s="454"/>
      <c r="C185" s="412"/>
      <c r="D185" s="412"/>
      <c r="E185" s="442"/>
      <c r="F185" s="442"/>
      <c r="G185" s="442"/>
      <c r="H185" s="442"/>
      <c r="I185" s="442"/>
      <c r="J185" s="442"/>
      <c r="K185" s="442"/>
      <c r="L185" s="416"/>
      <c r="M185" s="416"/>
      <c r="N185" s="416"/>
      <c r="O185" s="416"/>
      <c r="P185" s="416"/>
      <c r="Q185" s="398"/>
      <c r="R185" s="398"/>
      <c r="S185" s="398"/>
      <c r="T185" s="398"/>
      <c r="U185" s="457"/>
      <c r="V185" s="393"/>
      <c r="W185" s="392"/>
      <c r="X185" s="390"/>
      <c r="Y185" s="390"/>
      <c r="Z185" s="390"/>
      <c r="AA185" s="390"/>
      <c r="AB185" s="390"/>
      <c r="AC185" s="249"/>
      <c r="AD185" s="249"/>
      <c r="AE185" s="249"/>
      <c r="AF185" s="273"/>
      <c r="AG185" s="273"/>
      <c r="AH185" s="273"/>
      <c r="AI185" s="273"/>
      <c r="AJ185" s="273"/>
      <c r="AK185" s="273"/>
      <c r="AL185" s="273"/>
      <c r="AM185" s="273"/>
      <c r="AN185" s="273"/>
      <c r="AO185" s="273"/>
      <c r="AP185" s="273"/>
      <c r="AQ185" s="273"/>
      <c r="AR185" s="273"/>
      <c r="AS185" s="273"/>
      <c r="AT185" s="273"/>
      <c r="AU185" s="273"/>
      <c r="AV185" s="273"/>
      <c r="AW185" s="273"/>
      <c r="AX185" s="273"/>
      <c r="AY185" s="273"/>
      <c r="AZ185" s="273"/>
      <c r="BA185" s="273"/>
      <c r="BB185" s="273"/>
      <c r="BC185" s="273"/>
      <c r="BD185" s="273"/>
      <c r="BE185" s="273"/>
      <c r="BF185" s="273"/>
      <c r="BG185" s="273"/>
      <c r="BH185" s="273"/>
      <c r="BI185" s="273"/>
      <c r="BJ185" s="273"/>
      <c r="BK185" s="273"/>
      <c r="BL185" s="273"/>
      <c r="BM185" s="273"/>
      <c r="BN185" s="273"/>
    </row>
    <row r="186" spans="1:66" s="250" customFormat="1" x14ac:dyDescent="0.25">
      <c r="A186" s="414"/>
      <c r="B186" s="454"/>
      <c r="C186" s="412"/>
      <c r="D186" s="412"/>
      <c r="E186" s="442"/>
      <c r="F186" s="442"/>
      <c r="G186" s="442"/>
      <c r="H186" s="442"/>
      <c r="I186" s="442"/>
      <c r="J186" s="442"/>
      <c r="K186" s="442"/>
      <c r="L186" s="416"/>
      <c r="M186" s="416"/>
      <c r="N186" s="416"/>
      <c r="O186" s="416"/>
      <c r="P186" s="416"/>
      <c r="Q186" s="398"/>
      <c r="R186" s="398"/>
      <c r="S186" s="398"/>
      <c r="T186" s="398"/>
      <c r="U186" s="457"/>
      <c r="V186" s="393"/>
      <c r="W186" s="392"/>
      <c r="X186" s="390"/>
      <c r="Y186" s="390"/>
      <c r="Z186" s="390"/>
      <c r="AA186" s="390"/>
      <c r="AB186" s="390"/>
      <c r="AC186" s="249"/>
      <c r="AD186" s="249"/>
      <c r="AE186" s="249"/>
      <c r="AF186" s="273"/>
      <c r="AG186" s="273"/>
      <c r="AH186" s="273"/>
      <c r="AI186" s="273"/>
      <c r="AJ186" s="273"/>
      <c r="AK186" s="273"/>
      <c r="AL186" s="273"/>
      <c r="AM186" s="273"/>
      <c r="AN186" s="273"/>
      <c r="AO186" s="273"/>
      <c r="AP186" s="273"/>
      <c r="AQ186" s="273"/>
      <c r="AR186" s="273"/>
      <c r="AS186" s="273"/>
      <c r="AT186" s="273"/>
      <c r="AU186" s="273"/>
      <c r="AV186" s="273"/>
      <c r="AW186" s="273"/>
      <c r="AX186" s="273"/>
      <c r="AY186" s="273"/>
      <c r="AZ186" s="273"/>
      <c r="BA186" s="273"/>
      <c r="BB186" s="273"/>
      <c r="BC186" s="273"/>
      <c r="BD186" s="273"/>
      <c r="BE186" s="273"/>
      <c r="BF186" s="273"/>
      <c r="BG186" s="273"/>
      <c r="BH186" s="273"/>
      <c r="BI186" s="273"/>
      <c r="BJ186" s="273"/>
      <c r="BK186" s="273"/>
      <c r="BL186" s="273"/>
      <c r="BM186" s="273"/>
      <c r="BN186" s="273"/>
    </row>
    <row r="187" spans="1:66" s="250" customFormat="1" x14ac:dyDescent="0.25">
      <c r="A187" s="414"/>
      <c r="B187" s="454"/>
      <c r="C187" s="412"/>
      <c r="D187" s="412"/>
      <c r="E187" s="442"/>
      <c r="F187" s="442"/>
      <c r="G187" s="442"/>
      <c r="H187" s="442"/>
      <c r="I187" s="442"/>
      <c r="J187" s="442"/>
      <c r="K187" s="442"/>
      <c r="L187" s="416"/>
      <c r="M187" s="416"/>
      <c r="N187" s="416"/>
      <c r="O187" s="416"/>
      <c r="P187" s="416"/>
      <c r="Q187" s="398"/>
      <c r="R187" s="398"/>
      <c r="S187" s="398"/>
      <c r="T187" s="398"/>
      <c r="U187" s="457"/>
      <c r="V187" s="393"/>
      <c r="W187" s="392"/>
      <c r="X187" s="390"/>
      <c r="Y187" s="390"/>
      <c r="Z187" s="390"/>
      <c r="AA187" s="390"/>
      <c r="AB187" s="390"/>
      <c r="AC187" s="249"/>
      <c r="AD187" s="249"/>
      <c r="AE187" s="249"/>
      <c r="AF187" s="273"/>
      <c r="AG187" s="273"/>
      <c r="AH187" s="273"/>
      <c r="AI187" s="273"/>
      <c r="AJ187" s="273"/>
      <c r="AK187" s="273"/>
      <c r="AL187" s="273"/>
      <c r="AM187" s="273"/>
      <c r="AN187" s="273"/>
      <c r="AO187" s="273"/>
      <c r="AP187" s="273"/>
      <c r="AQ187" s="273"/>
      <c r="AR187" s="273"/>
      <c r="AS187" s="273"/>
      <c r="AT187" s="273"/>
      <c r="AU187" s="273"/>
      <c r="AV187" s="273"/>
      <c r="AW187" s="273"/>
      <c r="AX187" s="273"/>
      <c r="AY187" s="273"/>
      <c r="AZ187" s="273"/>
      <c r="BA187" s="273"/>
      <c r="BB187" s="273"/>
      <c r="BC187" s="273"/>
      <c r="BD187" s="273"/>
      <c r="BE187" s="273"/>
      <c r="BF187" s="273"/>
      <c r="BG187" s="273"/>
      <c r="BH187" s="273"/>
      <c r="BI187" s="273"/>
      <c r="BJ187" s="273"/>
      <c r="BK187" s="273"/>
      <c r="BL187" s="273"/>
      <c r="BM187" s="273"/>
      <c r="BN187" s="273"/>
    </row>
    <row r="188" spans="1:66" s="250" customFormat="1" x14ac:dyDescent="0.25">
      <c r="A188" s="414"/>
      <c r="B188" s="454"/>
      <c r="C188" s="412"/>
      <c r="D188" s="412"/>
      <c r="E188" s="442"/>
      <c r="F188" s="442"/>
      <c r="G188" s="442"/>
      <c r="H188" s="442"/>
      <c r="I188" s="442"/>
      <c r="J188" s="442"/>
      <c r="K188" s="442"/>
      <c r="L188" s="416"/>
      <c r="M188" s="416"/>
      <c r="N188" s="416"/>
      <c r="O188" s="416"/>
      <c r="P188" s="416"/>
      <c r="Q188" s="398"/>
      <c r="R188" s="398"/>
      <c r="S188" s="398"/>
      <c r="T188" s="398"/>
      <c r="U188" s="457"/>
      <c r="V188" s="393"/>
      <c r="W188" s="392"/>
      <c r="X188" s="390"/>
      <c r="Y188" s="390"/>
      <c r="Z188" s="390"/>
      <c r="AA188" s="390"/>
      <c r="AB188" s="390"/>
      <c r="AC188" s="249"/>
      <c r="AD188" s="249"/>
      <c r="AE188" s="249"/>
      <c r="AF188" s="273"/>
      <c r="AG188" s="273"/>
      <c r="AH188" s="273"/>
      <c r="AI188" s="273"/>
      <c r="AJ188" s="273"/>
      <c r="AK188" s="273"/>
      <c r="AL188" s="273"/>
      <c r="AM188" s="273"/>
      <c r="AN188" s="273"/>
      <c r="AO188" s="273"/>
      <c r="AP188" s="273"/>
      <c r="AQ188" s="273"/>
      <c r="AR188" s="273"/>
      <c r="AS188" s="273"/>
      <c r="AT188" s="273"/>
      <c r="AU188" s="273"/>
      <c r="AV188" s="273"/>
      <c r="AW188" s="273"/>
      <c r="AX188" s="273"/>
      <c r="AY188" s="273"/>
      <c r="AZ188" s="273"/>
      <c r="BA188" s="273"/>
      <c r="BB188" s="273"/>
      <c r="BC188" s="273"/>
      <c r="BD188" s="273"/>
      <c r="BE188" s="273"/>
      <c r="BF188" s="273"/>
      <c r="BG188" s="273"/>
      <c r="BH188" s="273"/>
      <c r="BI188" s="273"/>
      <c r="BJ188" s="273"/>
      <c r="BK188" s="273"/>
      <c r="BL188" s="273"/>
      <c r="BM188" s="273"/>
      <c r="BN188" s="273"/>
    </row>
    <row r="189" spans="1:66" s="250" customFormat="1" x14ac:dyDescent="0.25">
      <c r="A189" s="414"/>
      <c r="B189" s="454"/>
      <c r="C189" s="412"/>
      <c r="D189" s="412"/>
      <c r="E189" s="442"/>
      <c r="F189" s="442"/>
      <c r="G189" s="442"/>
      <c r="H189" s="442"/>
      <c r="I189" s="442"/>
      <c r="J189" s="442"/>
      <c r="K189" s="442"/>
      <c r="L189" s="416"/>
      <c r="M189" s="416"/>
      <c r="N189" s="416"/>
      <c r="O189" s="416"/>
      <c r="P189" s="416"/>
      <c r="Q189" s="398"/>
      <c r="R189" s="398"/>
      <c r="S189" s="398"/>
      <c r="T189" s="398"/>
      <c r="U189" s="457"/>
      <c r="V189" s="393"/>
      <c r="W189" s="392"/>
      <c r="X189" s="390"/>
      <c r="Y189" s="390"/>
      <c r="Z189" s="390"/>
      <c r="AA189" s="390"/>
      <c r="AB189" s="390"/>
      <c r="AC189" s="249"/>
      <c r="AD189" s="249"/>
      <c r="AE189" s="249"/>
      <c r="AF189" s="273"/>
      <c r="AG189" s="273"/>
      <c r="AH189" s="273"/>
      <c r="AI189" s="273"/>
      <c r="AJ189" s="273"/>
      <c r="AK189" s="273"/>
      <c r="AL189" s="273"/>
      <c r="AM189" s="273"/>
      <c r="AN189" s="273"/>
      <c r="AO189" s="273"/>
      <c r="AP189" s="273"/>
      <c r="AQ189" s="273"/>
      <c r="AR189" s="273"/>
      <c r="AS189" s="273"/>
      <c r="AT189" s="273"/>
      <c r="AU189" s="273"/>
      <c r="AV189" s="273"/>
      <c r="AW189" s="273"/>
      <c r="AX189" s="273"/>
      <c r="AY189" s="273"/>
      <c r="AZ189" s="273"/>
      <c r="BA189" s="273"/>
      <c r="BB189" s="273"/>
      <c r="BC189" s="273"/>
      <c r="BD189" s="273"/>
      <c r="BE189" s="273"/>
      <c r="BF189" s="273"/>
      <c r="BG189" s="273"/>
      <c r="BH189" s="273"/>
      <c r="BI189" s="273"/>
      <c r="BJ189" s="273"/>
      <c r="BK189" s="273"/>
      <c r="BL189" s="273"/>
      <c r="BM189" s="273"/>
      <c r="BN189" s="273"/>
    </row>
    <row r="190" spans="1:66" s="250" customFormat="1" x14ac:dyDescent="0.25">
      <c r="A190" s="414"/>
      <c r="B190" s="454"/>
      <c r="C190" s="412"/>
      <c r="D190" s="412"/>
      <c r="E190" s="442"/>
      <c r="F190" s="442"/>
      <c r="G190" s="442"/>
      <c r="H190" s="442"/>
      <c r="I190" s="442"/>
      <c r="J190" s="442"/>
      <c r="K190" s="442"/>
      <c r="L190" s="416"/>
      <c r="M190" s="416"/>
      <c r="N190" s="416"/>
      <c r="O190" s="416"/>
      <c r="P190" s="416"/>
      <c r="Q190" s="398"/>
      <c r="R190" s="398"/>
      <c r="S190" s="398"/>
      <c r="T190" s="398"/>
      <c r="U190" s="457"/>
      <c r="V190" s="393"/>
      <c r="W190" s="392"/>
      <c r="X190" s="390"/>
      <c r="Y190" s="390"/>
      <c r="Z190" s="390"/>
      <c r="AA190" s="390"/>
      <c r="AB190" s="390"/>
      <c r="AC190" s="249"/>
      <c r="AD190" s="249"/>
      <c r="AE190" s="249"/>
      <c r="AF190" s="273"/>
      <c r="AG190" s="273"/>
      <c r="AH190" s="273"/>
      <c r="AI190" s="273"/>
      <c r="AJ190" s="273"/>
      <c r="AK190" s="273"/>
      <c r="AL190" s="273"/>
      <c r="AM190" s="273"/>
      <c r="AN190" s="273"/>
      <c r="AO190" s="273"/>
      <c r="AP190" s="273"/>
      <c r="AQ190" s="273"/>
      <c r="AR190" s="273"/>
      <c r="AS190" s="273"/>
      <c r="AT190" s="273"/>
      <c r="AU190" s="273"/>
      <c r="AV190" s="273"/>
      <c r="AW190" s="273"/>
      <c r="AX190" s="273"/>
      <c r="AY190" s="273"/>
      <c r="AZ190" s="273"/>
      <c r="BA190" s="273"/>
      <c r="BB190" s="273"/>
      <c r="BC190" s="273"/>
      <c r="BD190" s="273"/>
      <c r="BE190" s="273"/>
      <c r="BF190" s="273"/>
      <c r="BG190" s="273"/>
      <c r="BH190" s="273"/>
      <c r="BI190" s="273"/>
      <c r="BJ190" s="273"/>
      <c r="BK190" s="273"/>
      <c r="BL190" s="273"/>
      <c r="BM190" s="273"/>
      <c r="BN190" s="273"/>
    </row>
    <row r="191" spans="1:66" s="250" customFormat="1" x14ac:dyDescent="0.25">
      <c r="A191" s="414"/>
      <c r="B191" s="454"/>
      <c r="C191" s="412"/>
      <c r="D191" s="412"/>
      <c r="E191" s="442"/>
      <c r="F191" s="442"/>
      <c r="G191" s="442"/>
      <c r="H191" s="442"/>
      <c r="I191" s="442"/>
      <c r="J191" s="442"/>
      <c r="K191" s="442"/>
      <c r="L191" s="416"/>
      <c r="M191" s="416"/>
      <c r="N191" s="416"/>
      <c r="O191" s="416"/>
      <c r="P191" s="416"/>
      <c r="Q191" s="398"/>
      <c r="R191" s="398"/>
      <c r="S191" s="398"/>
      <c r="T191" s="398"/>
      <c r="U191" s="457"/>
      <c r="V191" s="393"/>
      <c r="W191" s="392"/>
      <c r="X191" s="390"/>
      <c r="Y191" s="390"/>
      <c r="Z191" s="390"/>
      <c r="AA191" s="390"/>
      <c r="AB191" s="390"/>
      <c r="AC191" s="249"/>
      <c r="AD191" s="249"/>
      <c r="AE191" s="249"/>
      <c r="AF191" s="273"/>
      <c r="AG191" s="273"/>
      <c r="AH191" s="273"/>
      <c r="AI191" s="273"/>
      <c r="AJ191" s="273"/>
      <c r="AK191" s="273"/>
      <c r="AL191" s="273"/>
      <c r="AM191" s="273"/>
      <c r="AN191" s="273"/>
      <c r="AO191" s="273"/>
      <c r="AP191" s="273"/>
      <c r="AQ191" s="273"/>
      <c r="AR191" s="273"/>
      <c r="AS191" s="273"/>
      <c r="AT191" s="273"/>
      <c r="AU191" s="273"/>
      <c r="AV191" s="273"/>
      <c r="AW191" s="273"/>
      <c r="AX191" s="273"/>
      <c r="AY191" s="273"/>
      <c r="AZ191" s="273"/>
      <c r="BA191" s="273"/>
      <c r="BB191" s="273"/>
      <c r="BC191" s="273"/>
      <c r="BD191" s="273"/>
      <c r="BE191" s="273"/>
      <c r="BF191" s="273"/>
      <c r="BG191" s="273"/>
      <c r="BH191" s="273"/>
      <c r="BI191" s="273"/>
      <c r="BJ191" s="273"/>
      <c r="BK191" s="273"/>
      <c r="BL191" s="273"/>
      <c r="BM191" s="273"/>
      <c r="BN191" s="273"/>
    </row>
    <row r="192" spans="1:66" s="250" customFormat="1" x14ac:dyDescent="0.25">
      <c r="A192" s="414"/>
      <c r="B192" s="454"/>
      <c r="C192" s="412"/>
      <c r="D192" s="412"/>
      <c r="E192" s="442"/>
      <c r="F192" s="442"/>
      <c r="G192" s="442"/>
      <c r="H192" s="442"/>
      <c r="I192" s="442"/>
      <c r="J192" s="442"/>
      <c r="K192" s="442"/>
      <c r="L192" s="416"/>
      <c r="M192" s="416"/>
      <c r="N192" s="416"/>
      <c r="O192" s="416"/>
      <c r="P192" s="416"/>
      <c r="Q192" s="398"/>
      <c r="R192" s="398"/>
      <c r="S192" s="398"/>
      <c r="T192" s="398"/>
      <c r="U192" s="457"/>
      <c r="V192" s="393"/>
      <c r="W192" s="392"/>
      <c r="X192" s="390"/>
      <c r="Y192" s="390"/>
      <c r="Z192" s="390"/>
      <c r="AA192" s="390"/>
      <c r="AB192" s="390"/>
      <c r="AC192" s="249"/>
      <c r="AD192" s="249"/>
      <c r="AE192" s="249"/>
      <c r="AF192" s="273"/>
      <c r="AG192" s="273"/>
      <c r="AH192" s="273"/>
      <c r="AI192" s="273"/>
      <c r="AJ192" s="273"/>
      <c r="AK192" s="273"/>
      <c r="AL192" s="273"/>
      <c r="AM192" s="273"/>
      <c r="AN192" s="273"/>
      <c r="AO192" s="273"/>
      <c r="AP192" s="273"/>
      <c r="AQ192" s="273"/>
      <c r="AR192" s="273"/>
      <c r="AS192" s="273"/>
      <c r="AT192" s="273"/>
      <c r="AU192" s="273"/>
      <c r="AV192" s="273"/>
      <c r="AW192" s="273"/>
      <c r="AX192" s="273"/>
      <c r="AY192" s="273"/>
      <c r="AZ192" s="273"/>
      <c r="BA192" s="273"/>
      <c r="BB192" s="273"/>
      <c r="BC192" s="273"/>
      <c r="BD192" s="273"/>
      <c r="BE192" s="273"/>
      <c r="BF192" s="273"/>
      <c r="BG192" s="273"/>
      <c r="BH192" s="273"/>
      <c r="BI192" s="273"/>
      <c r="BJ192" s="273"/>
      <c r="BK192" s="273"/>
      <c r="BL192" s="273"/>
      <c r="BM192" s="273"/>
      <c r="BN192" s="273"/>
    </row>
    <row r="193" spans="1:66" s="250" customFormat="1" x14ac:dyDescent="0.25">
      <c r="A193" s="414"/>
      <c r="B193" s="454"/>
      <c r="C193" s="412"/>
      <c r="D193" s="412"/>
      <c r="E193" s="442"/>
      <c r="F193" s="442"/>
      <c r="G193" s="442"/>
      <c r="H193" s="442"/>
      <c r="I193" s="442"/>
      <c r="J193" s="442"/>
      <c r="K193" s="442"/>
      <c r="L193" s="416"/>
      <c r="M193" s="416"/>
      <c r="N193" s="416"/>
      <c r="O193" s="416"/>
      <c r="P193" s="416"/>
      <c r="Q193" s="398"/>
      <c r="R193" s="398"/>
      <c r="S193" s="398"/>
      <c r="T193" s="398"/>
      <c r="U193" s="457"/>
      <c r="V193" s="393"/>
      <c r="W193" s="392"/>
      <c r="X193" s="390"/>
      <c r="Y193" s="390"/>
      <c r="Z193" s="390"/>
      <c r="AA193" s="390"/>
      <c r="AB193" s="390"/>
      <c r="AC193" s="249"/>
      <c r="AD193" s="249"/>
      <c r="AE193" s="249"/>
      <c r="AF193" s="273"/>
      <c r="AG193" s="273"/>
      <c r="AH193" s="273"/>
      <c r="AI193" s="273"/>
      <c r="AJ193" s="273"/>
      <c r="AK193" s="273"/>
      <c r="AL193" s="273"/>
      <c r="AM193" s="273"/>
      <c r="AN193" s="273"/>
      <c r="AO193" s="273"/>
      <c r="AP193" s="273"/>
      <c r="AQ193" s="273"/>
      <c r="AR193" s="273"/>
      <c r="AS193" s="273"/>
      <c r="AT193" s="273"/>
      <c r="AU193" s="273"/>
      <c r="AV193" s="273"/>
      <c r="AW193" s="273"/>
      <c r="AX193" s="273"/>
      <c r="AY193" s="273"/>
      <c r="AZ193" s="273"/>
      <c r="BA193" s="273"/>
      <c r="BB193" s="273"/>
      <c r="BC193" s="273"/>
      <c r="BD193" s="273"/>
      <c r="BE193" s="273"/>
      <c r="BF193" s="273"/>
      <c r="BG193" s="273"/>
      <c r="BH193" s="273"/>
      <c r="BI193" s="273"/>
      <c r="BJ193" s="273"/>
      <c r="BK193" s="273"/>
      <c r="BL193" s="273"/>
      <c r="BM193" s="273"/>
      <c r="BN193" s="273"/>
    </row>
    <row r="194" spans="1:66" s="250" customFormat="1" x14ac:dyDescent="0.25">
      <c r="A194" s="414"/>
      <c r="B194" s="454"/>
      <c r="C194" s="412"/>
      <c r="D194" s="412"/>
      <c r="E194" s="442"/>
      <c r="F194" s="442"/>
      <c r="G194" s="442"/>
      <c r="H194" s="442"/>
      <c r="I194" s="442"/>
      <c r="J194" s="442"/>
      <c r="K194" s="442"/>
      <c r="L194" s="416"/>
      <c r="M194" s="416"/>
      <c r="N194" s="416"/>
      <c r="O194" s="416"/>
      <c r="P194" s="416"/>
      <c r="Q194" s="398"/>
      <c r="R194" s="398"/>
      <c r="S194" s="398"/>
      <c r="T194" s="398"/>
      <c r="U194" s="457"/>
      <c r="V194" s="393"/>
      <c r="W194" s="392"/>
      <c r="X194" s="390"/>
      <c r="Y194" s="390"/>
      <c r="Z194" s="390"/>
      <c r="AA194" s="390"/>
      <c r="AB194" s="390"/>
      <c r="AC194" s="249"/>
      <c r="AD194" s="249"/>
      <c r="AE194" s="249"/>
      <c r="AF194" s="273"/>
      <c r="AG194" s="273"/>
      <c r="AH194" s="273"/>
      <c r="AI194" s="273"/>
      <c r="AJ194" s="273"/>
      <c r="AK194" s="273"/>
      <c r="AL194" s="273"/>
      <c r="AM194" s="273"/>
      <c r="AN194" s="273"/>
      <c r="AO194" s="273"/>
      <c r="AP194" s="273"/>
      <c r="AQ194" s="273"/>
      <c r="AR194" s="273"/>
      <c r="AS194" s="273"/>
      <c r="AT194" s="273"/>
      <c r="AU194" s="273"/>
      <c r="AV194" s="273"/>
      <c r="AW194" s="273"/>
      <c r="AX194" s="273"/>
      <c r="AY194" s="273"/>
      <c r="AZ194" s="273"/>
      <c r="BA194" s="273"/>
      <c r="BB194" s="273"/>
      <c r="BC194" s="273"/>
      <c r="BD194" s="273"/>
      <c r="BE194" s="273"/>
      <c r="BF194" s="273"/>
      <c r="BG194" s="273"/>
      <c r="BH194" s="273"/>
      <c r="BI194" s="273"/>
      <c r="BJ194" s="273"/>
      <c r="BK194" s="273"/>
      <c r="BL194" s="273"/>
      <c r="BM194" s="273"/>
      <c r="BN194" s="273"/>
    </row>
    <row r="195" spans="1:66" s="250" customFormat="1" x14ac:dyDescent="0.25">
      <c r="A195" s="414"/>
      <c r="B195" s="454"/>
      <c r="C195" s="412"/>
      <c r="D195" s="412"/>
      <c r="E195" s="442"/>
      <c r="F195" s="442"/>
      <c r="G195" s="442"/>
      <c r="H195" s="442"/>
      <c r="I195" s="442"/>
      <c r="J195" s="442"/>
      <c r="K195" s="442"/>
      <c r="L195" s="416"/>
      <c r="M195" s="416"/>
      <c r="N195" s="416"/>
      <c r="O195" s="416"/>
      <c r="P195" s="416"/>
      <c r="Q195" s="398"/>
      <c r="R195" s="398"/>
      <c r="S195" s="398"/>
      <c r="T195" s="398"/>
      <c r="U195" s="457"/>
      <c r="V195" s="393"/>
      <c r="W195" s="392"/>
      <c r="X195" s="390"/>
      <c r="Y195" s="390"/>
      <c r="Z195" s="390"/>
      <c r="AA195" s="390"/>
      <c r="AB195" s="390"/>
      <c r="AC195" s="249"/>
      <c r="AD195" s="249"/>
      <c r="AE195" s="249"/>
      <c r="AF195" s="273"/>
      <c r="AG195" s="273"/>
      <c r="AH195" s="273"/>
      <c r="AI195" s="273"/>
      <c r="AJ195" s="273"/>
      <c r="AK195" s="273"/>
      <c r="AL195" s="273"/>
      <c r="AM195" s="273"/>
      <c r="AN195" s="273"/>
      <c r="AO195" s="273"/>
      <c r="AP195" s="273"/>
      <c r="AQ195" s="273"/>
      <c r="AR195" s="273"/>
      <c r="AS195" s="273"/>
      <c r="AT195" s="273"/>
      <c r="AU195" s="273"/>
      <c r="AV195" s="273"/>
      <c r="AW195" s="273"/>
      <c r="AX195" s="273"/>
      <c r="AY195" s="273"/>
      <c r="AZ195" s="273"/>
      <c r="BA195" s="273"/>
      <c r="BB195" s="273"/>
      <c r="BC195" s="273"/>
      <c r="BD195" s="273"/>
      <c r="BE195" s="273"/>
      <c r="BF195" s="273"/>
      <c r="BG195" s="273"/>
      <c r="BH195" s="273"/>
      <c r="BI195" s="273"/>
      <c r="BJ195" s="273"/>
      <c r="BK195" s="273"/>
      <c r="BL195" s="273"/>
      <c r="BM195" s="273"/>
      <c r="BN195" s="273"/>
    </row>
    <row r="196" spans="1:66" s="250" customFormat="1" x14ac:dyDescent="0.25">
      <c r="A196" s="414"/>
      <c r="B196" s="454"/>
      <c r="C196" s="412"/>
      <c r="D196" s="412"/>
      <c r="E196" s="442"/>
      <c r="F196" s="442"/>
      <c r="G196" s="442"/>
      <c r="H196" s="442"/>
      <c r="I196" s="442"/>
      <c r="J196" s="442"/>
      <c r="K196" s="442"/>
      <c r="L196" s="416"/>
      <c r="M196" s="416"/>
      <c r="N196" s="416"/>
      <c r="O196" s="416"/>
      <c r="P196" s="416"/>
      <c r="Q196" s="398"/>
      <c r="R196" s="398"/>
      <c r="S196" s="398"/>
      <c r="T196" s="398"/>
      <c r="U196" s="457"/>
      <c r="V196" s="393"/>
      <c r="W196" s="392"/>
      <c r="X196" s="390"/>
      <c r="Y196" s="390"/>
      <c r="Z196" s="390"/>
      <c r="AA196" s="390"/>
      <c r="AB196" s="390"/>
      <c r="AC196" s="249"/>
      <c r="AD196" s="249"/>
      <c r="AE196" s="249"/>
      <c r="AF196" s="273"/>
      <c r="AG196" s="273"/>
      <c r="AH196" s="273"/>
      <c r="AI196" s="273"/>
      <c r="AJ196" s="273"/>
      <c r="AK196" s="273"/>
      <c r="AL196" s="273"/>
      <c r="AM196" s="273"/>
      <c r="AN196" s="273"/>
      <c r="AO196" s="273"/>
      <c r="AP196" s="273"/>
      <c r="AQ196" s="273"/>
      <c r="AR196" s="273"/>
      <c r="AS196" s="273"/>
      <c r="AT196" s="273"/>
      <c r="AU196" s="273"/>
      <c r="AV196" s="273"/>
      <c r="AW196" s="273"/>
      <c r="AX196" s="273"/>
      <c r="AY196" s="273"/>
      <c r="AZ196" s="273"/>
      <c r="BA196" s="273"/>
      <c r="BB196" s="273"/>
      <c r="BC196" s="273"/>
      <c r="BD196" s="273"/>
      <c r="BE196" s="273"/>
      <c r="BF196" s="273"/>
      <c r="BG196" s="273"/>
      <c r="BH196" s="273"/>
      <c r="BI196" s="273"/>
      <c r="BJ196" s="273"/>
      <c r="BK196" s="273"/>
      <c r="BL196" s="273"/>
      <c r="BM196" s="273"/>
      <c r="BN196" s="273"/>
    </row>
    <row r="197" spans="1:66" s="250" customFormat="1" x14ac:dyDescent="0.25">
      <c r="A197" s="414"/>
      <c r="B197" s="454"/>
      <c r="C197" s="412"/>
      <c r="D197" s="412"/>
      <c r="E197" s="442"/>
      <c r="F197" s="442"/>
      <c r="G197" s="442"/>
      <c r="H197" s="442"/>
      <c r="I197" s="442"/>
      <c r="J197" s="442"/>
      <c r="K197" s="442"/>
      <c r="L197" s="416"/>
      <c r="M197" s="416"/>
      <c r="N197" s="416"/>
      <c r="O197" s="416"/>
      <c r="P197" s="416"/>
      <c r="Q197" s="398"/>
      <c r="R197" s="398"/>
      <c r="S197" s="398"/>
      <c r="T197" s="398"/>
      <c r="U197" s="457"/>
      <c r="V197" s="393"/>
      <c r="W197" s="392"/>
      <c r="X197" s="390"/>
      <c r="Y197" s="390"/>
      <c r="Z197" s="390"/>
      <c r="AA197" s="390"/>
      <c r="AB197" s="390"/>
      <c r="AC197" s="249"/>
      <c r="AD197" s="249"/>
      <c r="AE197" s="249"/>
      <c r="AF197" s="273"/>
      <c r="AG197" s="273"/>
      <c r="AH197" s="273"/>
      <c r="AI197" s="273"/>
      <c r="AJ197" s="273"/>
      <c r="AK197" s="273"/>
      <c r="AL197" s="273"/>
      <c r="AM197" s="273"/>
      <c r="AN197" s="273"/>
      <c r="AO197" s="273"/>
      <c r="AP197" s="273"/>
      <c r="AQ197" s="273"/>
      <c r="AR197" s="273"/>
      <c r="AS197" s="273"/>
      <c r="AT197" s="273"/>
      <c r="AU197" s="273"/>
      <c r="AV197" s="273"/>
      <c r="AW197" s="273"/>
      <c r="AX197" s="273"/>
      <c r="AY197" s="273"/>
      <c r="AZ197" s="273"/>
      <c r="BA197" s="273"/>
      <c r="BB197" s="273"/>
      <c r="BC197" s="273"/>
      <c r="BD197" s="273"/>
      <c r="BE197" s="273"/>
      <c r="BF197" s="273"/>
      <c r="BG197" s="273"/>
      <c r="BH197" s="273"/>
      <c r="BI197" s="273"/>
      <c r="BJ197" s="273"/>
      <c r="BK197" s="273"/>
      <c r="BL197" s="273"/>
      <c r="BM197" s="273"/>
      <c r="BN197" s="273"/>
    </row>
    <row r="198" spans="1:66" s="250" customFormat="1" x14ac:dyDescent="0.25">
      <c r="A198" s="414"/>
      <c r="B198" s="454"/>
      <c r="C198" s="412"/>
      <c r="D198" s="412"/>
      <c r="E198" s="442"/>
      <c r="F198" s="442"/>
      <c r="G198" s="442"/>
      <c r="H198" s="442"/>
      <c r="I198" s="442"/>
      <c r="J198" s="442"/>
      <c r="K198" s="442"/>
      <c r="L198" s="416"/>
      <c r="M198" s="416"/>
      <c r="N198" s="416"/>
      <c r="O198" s="416"/>
      <c r="P198" s="416"/>
      <c r="Q198" s="398"/>
      <c r="R198" s="398"/>
      <c r="S198" s="398"/>
      <c r="T198" s="398"/>
      <c r="U198" s="457"/>
      <c r="V198" s="393"/>
      <c r="W198" s="392"/>
      <c r="X198" s="390"/>
      <c r="Y198" s="390"/>
      <c r="Z198" s="390"/>
      <c r="AA198" s="390"/>
      <c r="AB198" s="390"/>
      <c r="AC198" s="249"/>
      <c r="AD198" s="249"/>
      <c r="AE198" s="249"/>
      <c r="AF198" s="273"/>
      <c r="AG198" s="273"/>
      <c r="AH198" s="273"/>
      <c r="AI198" s="273"/>
      <c r="AJ198" s="273"/>
      <c r="AK198" s="273"/>
      <c r="AL198" s="273"/>
      <c r="AM198" s="273"/>
      <c r="AN198" s="273"/>
      <c r="AO198" s="273"/>
      <c r="AP198" s="273"/>
      <c r="AQ198" s="273"/>
      <c r="AR198" s="273"/>
      <c r="AS198" s="273"/>
      <c r="AT198" s="273"/>
      <c r="AU198" s="273"/>
      <c r="AV198" s="273"/>
      <c r="AW198" s="273"/>
      <c r="AX198" s="273"/>
      <c r="AY198" s="273"/>
      <c r="AZ198" s="273"/>
      <c r="BA198" s="273"/>
      <c r="BB198" s="273"/>
      <c r="BC198" s="273"/>
      <c r="BD198" s="273"/>
      <c r="BE198" s="273"/>
      <c r="BF198" s="273"/>
      <c r="BG198" s="273"/>
      <c r="BH198" s="273"/>
      <c r="BI198" s="273"/>
      <c r="BJ198" s="273"/>
      <c r="BK198" s="273"/>
      <c r="BL198" s="273"/>
      <c r="BM198" s="273"/>
      <c r="BN198" s="273"/>
    </row>
    <row r="199" spans="1:66" s="250" customFormat="1" x14ac:dyDescent="0.25">
      <c r="A199" s="414"/>
      <c r="B199" s="454"/>
      <c r="C199" s="412"/>
      <c r="D199" s="412"/>
      <c r="E199" s="442"/>
      <c r="F199" s="442"/>
      <c r="G199" s="442"/>
      <c r="H199" s="442"/>
      <c r="I199" s="442"/>
      <c r="J199" s="442"/>
      <c r="K199" s="442"/>
      <c r="L199" s="416"/>
      <c r="M199" s="416"/>
      <c r="N199" s="416"/>
      <c r="O199" s="416"/>
      <c r="P199" s="416"/>
      <c r="Q199" s="398"/>
      <c r="R199" s="398"/>
      <c r="S199" s="398"/>
      <c r="T199" s="398"/>
      <c r="U199" s="457"/>
      <c r="V199" s="393"/>
      <c r="W199" s="392"/>
      <c r="X199" s="390"/>
      <c r="Y199" s="390"/>
      <c r="Z199" s="390"/>
      <c r="AA199" s="390"/>
      <c r="AB199" s="390"/>
      <c r="AC199" s="249"/>
      <c r="AD199" s="249"/>
      <c r="AE199" s="249"/>
      <c r="AF199" s="273"/>
      <c r="AG199" s="273"/>
      <c r="AH199" s="273"/>
      <c r="AI199" s="273"/>
      <c r="AJ199" s="273"/>
      <c r="AK199" s="273"/>
      <c r="AL199" s="273"/>
      <c r="AM199" s="273"/>
      <c r="AN199" s="273"/>
      <c r="AO199" s="273"/>
      <c r="AP199" s="273"/>
      <c r="AQ199" s="273"/>
      <c r="AR199" s="273"/>
      <c r="AS199" s="273"/>
      <c r="AT199" s="273"/>
      <c r="AU199" s="273"/>
      <c r="AV199" s="273"/>
      <c r="AW199" s="273"/>
      <c r="AX199" s="273"/>
      <c r="AY199" s="273"/>
      <c r="AZ199" s="273"/>
      <c r="BA199" s="273"/>
      <c r="BB199" s="273"/>
      <c r="BC199" s="273"/>
      <c r="BD199" s="273"/>
      <c r="BE199" s="273"/>
      <c r="BF199" s="273"/>
      <c r="BG199" s="273"/>
      <c r="BH199" s="273"/>
      <c r="BI199" s="273"/>
      <c r="BJ199" s="273"/>
      <c r="BK199" s="273"/>
      <c r="BL199" s="273"/>
      <c r="BM199" s="273"/>
      <c r="BN199" s="273"/>
    </row>
    <row r="200" spans="1:66" s="250" customFormat="1" x14ac:dyDescent="0.25">
      <c r="A200" s="414"/>
      <c r="B200" s="454"/>
      <c r="C200" s="412"/>
      <c r="D200" s="412"/>
      <c r="E200" s="442"/>
      <c r="F200" s="442"/>
      <c r="G200" s="442"/>
      <c r="H200" s="442"/>
      <c r="I200" s="442"/>
      <c r="J200" s="442"/>
      <c r="K200" s="442"/>
      <c r="L200" s="416"/>
      <c r="M200" s="416"/>
      <c r="N200" s="416"/>
      <c r="O200" s="416"/>
      <c r="P200" s="416"/>
      <c r="Q200" s="398"/>
      <c r="R200" s="398"/>
      <c r="S200" s="398"/>
      <c r="T200" s="398"/>
      <c r="U200" s="457"/>
      <c r="V200" s="393"/>
      <c r="W200" s="392"/>
      <c r="X200" s="390"/>
      <c r="Y200" s="390"/>
      <c r="Z200" s="390"/>
      <c r="AA200" s="390"/>
      <c r="AB200" s="390"/>
      <c r="AC200" s="249"/>
      <c r="AD200" s="249"/>
      <c r="AE200" s="249"/>
      <c r="AF200" s="273"/>
      <c r="AG200" s="273"/>
      <c r="AH200" s="273"/>
      <c r="AI200" s="273"/>
      <c r="AJ200" s="273"/>
      <c r="AK200" s="273"/>
      <c r="AL200" s="273"/>
      <c r="AM200" s="273"/>
      <c r="AN200" s="273"/>
      <c r="AO200" s="273"/>
      <c r="AP200" s="273"/>
      <c r="AQ200" s="273"/>
      <c r="AR200" s="273"/>
      <c r="AS200" s="273"/>
      <c r="AT200" s="273"/>
      <c r="AU200" s="273"/>
      <c r="AV200" s="273"/>
      <c r="AW200" s="273"/>
      <c r="AX200" s="273"/>
      <c r="AY200" s="273"/>
      <c r="AZ200" s="273"/>
      <c r="BA200" s="273"/>
      <c r="BB200" s="273"/>
      <c r="BC200" s="273"/>
      <c r="BD200" s="273"/>
      <c r="BE200" s="273"/>
      <c r="BF200" s="273"/>
      <c r="BG200" s="273"/>
      <c r="BH200" s="273"/>
      <c r="BI200" s="273"/>
      <c r="BJ200" s="273"/>
      <c r="BK200" s="273"/>
      <c r="BL200" s="273"/>
      <c r="BM200" s="273"/>
      <c r="BN200" s="273"/>
    </row>
    <row r="201" spans="1:66" s="250" customFormat="1" x14ac:dyDescent="0.25">
      <c r="A201" s="414"/>
      <c r="B201" s="454"/>
      <c r="C201" s="412"/>
      <c r="D201" s="412"/>
      <c r="E201" s="442"/>
      <c r="F201" s="442"/>
      <c r="G201" s="442"/>
      <c r="H201" s="442"/>
      <c r="I201" s="442"/>
      <c r="J201" s="442"/>
      <c r="K201" s="442"/>
      <c r="L201" s="416"/>
      <c r="M201" s="416"/>
      <c r="N201" s="416"/>
      <c r="O201" s="416"/>
      <c r="P201" s="416"/>
      <c r="Q201" s="398"/>
      <c r="R201" s="398"/>
      <c r="S201" s="398"/>
      <c r="T201" s="398"/>
      <c r="U201" s="457"/>
      <c r="V201" s="393"/>
      <c r="W201" s="392"/>
      <c r="X201" s="390"/>
      <c r="Y201" s="390"/>
      <c r="Z201" s="390"/>
      <c r="AA201" s="390"/>
      <c r="AB201" s="390"/>
      <c r="AC201" s="249"/>
      <c r="AD201" s="249"/>
      <c r="AE201" s="249"/>
      <c r="AF201" s="273"/>
      <c r="AG201" s="273"/>
      <c r="AH201" s="273"/>
      <c r="AI201" s="273"/>
      <c r="AJ201" s="273"/>
      <c r="AK201" s="273"/>
      <c r="AL201" s="273"/>
      <c r="AM201" s="273"/>
      <c r="AN201" s="273"/>
      <c r="AO201" s="273"/>
      <c r="AP201" s="273"/>
      <c r="AQ201" s="273"/>
      <c r="AR201" s="273"/>
      <c r="AS201" s="273"/>
      <c r="AT201" s="273"/>
      <c r="AU201" s="273"/>
      <c r="AV201" s="273"/>
      <c r="AW201" s="273"/>
      <c r="AX201" s="273"/>
      <c r="AY201" s="273"/>
      <c r="AZ201" s="273"/>
      <c r="BA201" s="273"/>
      <c r="BB201" s="273"/>
      <c r="BC201" s="273"/>
      <c r="BD201" s="273"/>
      <c r="BE201" s="273"/>
      <c r="BF201" s="273"/>
      <c r="BG201" s="273"/>
      <c r="BH201" s="273"/>
      <c r="BI201" s="273"/>
      <c r="BJ201" s="273"/>
      <c r="BK201" s="273"/>
      <c r="BL201" s="273"/>
      <c r="BM201" s="273"/>
      <c r="BN201" s="273"/>
    </row>
    <row r="202" spans="1:66" s="250" customFormat="1" x14ac:dyDescent="0.25">
      <c r="A202" s="414"/>
      <c r="B202" s="454"/>
      <c r="C202" s="412"/>
      <c r="D202" s="412"/>
      <c r="E202" s="442"/>
      <c r="F202" s="442"/>
      <c r="G202" s="442"/>
      <c r="H202" s="442"/>
      <c r="I202" s="442"/>
      <c r="J202" s="442"/>
      <c r="K202" s="442"/>
      <c r="L202" s="416"/>
      <c r="M202" s="416"/>
      <c r="N202" s="416"/>
      <c r="O202" s="416"/>
      <c r="P202" s="416"/>
      <c r="Q202" s="398"/>
      <c r="R202" s="398"/>
      <c r="S202" s="398"/>
      <c r="T202" s="398"/>
      <c r="U202" s="457"/>
      <c r="V202" s="393"/>
      <c r="W202" s="392"/>
      <c r="X202" s="390"/>
      <c r="Y202" s="390"/>
      <c r="Z202" s="390"/>
      <c r="AA202" s="390"/>
      <c r="AB202" s="390"/>
      <c r="AC202" s="249"/>
      <c r="AD202" s="249"/>
      <c r="AE202" s="249"/>
      <c r="AF202" s="273"/>
      <c r="AG202" s="273"/>
      <c r="AH202" s="273"/>
      <c r="AI202" s="273"/>
      <c r="AJ202" s="273"/>
      <c r="AK202" s="273"/>
      <c r="AL202" s="273"/>
      <c r="AM202" s="273"/>
      <c r="AN202" s="273"/>
      <c r="AO202" s="273"/>
      <c r="AP202" s="273"/>
      <c r="AQ202" s="273"/>
      <c r="AR202" s="273"/>
      <c r="AS202" s="273"/>
      <c r="AT202" s="273"/>
      <c r="AU202" s="273"/>
      <c r="AV202" s="273"/>
      <c r="AW202" s="273"/>
      <c r="AX202" s="273"/>
      <c r="AY202" s="273"/>
      <c r="AZ202" s="273"/>
      <c r="BA202" s="273"/>
      <c r="BB202" s="273"/>
      <c r="BC202" s="273"/>
      <c r="BD202" s="273"/>
      <c r="BE202" s="273"/>
      <c r="BF202" s="273"/>
      <c r="BG202" s="273"/>
      <c r="BH202" s="273"/>
      <c r="BI202" s="273"/>
      <c r="BJ202" s="273"/>
      <c r="BK202" s="273"/>
      <c r="BL202" s="273"/>
      <c r="BM202" s="273"/>
      <c r="BN202" s="273"/>
    </row>
    <row r="203" spans="1:66" s="250" customFormat="1" x14ac:dyDescent="0.25">
      <c r="A203" s="414"/>
      <c r="B203" s="454"/>
      <c r="C203" s="412"/>
      <c r="D203" s="412"/>
      <c r="E203" s="442"/>
      <c r="F203" s="442"/>
      <c r="G203" s="442"/>
      <c r="H203" s="442"/>
      <c r="I203" s="442"/>
      <c r="J203" s="442"/>
      <c r="K203" s="442"/>
      <c r="L203" s="416"/>
      <c r="M203" s="416"/>
      <c r="N203" s="416"/>
      <c r="O203" s="416"/>
      <c r="P203" s="416"/>
      <c r="Q203" s="398"/>
      <c r="R203" s="398"/>
      <c r="S203" s="398"/>
      <c r="T203" s="398"/>
      <c r="U203" s="457"/>
      <c r="V203" s="393"/>
      <c r="W203" s="392"/>
      <c r="X203" s="390"/>
      <c r="Y203" s="390"/>
      <c r="Z203" s="390"/>
      <c r="AA203" s="390"/>
      <c r="AB203" s="390"/>
      <c r="AC203" s="249"/>
      <c r="AD203" s="249"/>
      <c r="AE203" s="249"/>
      <c r="AF203" s="273"/>
      <c r="AG203" s="273"/>
      <c r="AH203" s="273"/>
      <c r="AI203" s="273"/>
      <c r="AJ203" s="273"/>
      <c r="AK203" s="273"/>
      <c r="AL203" s="273"/>
      <c r="AM203" s="273"/>
      <c r="AN203" s="273"/>
      <c r="AO203" s="273"/>
      <c r="AP203" s="273"/>
      <c r="AQ203" s="273"/>
      <c r="AR203" s="273"/>
      <c r="AS203" s="273"/>
      <c r="AT203" s="273"/>
      <c r="AU203" s="273"/>
      <c r="AV203" s="273"/>
      <c r="AW203" s="273"/>
      <c r="AX203" s="273"/>
      <c r="AY203" s="273"/>
      <c r="AZ203" s="273"/>
      <c r="BA203" s="273"/>
      <c r="BB203" s="273"/>
      <c r="BC203" s="273"/>
      <c r="BD203" s="273"/>
      <c r="BE203" s="273"/>
      <c r="BF203" s="273"/>
      <c r="BG203" s="273"/>
      <c r="BH203" s="273"/>
      <c r="BI203" s="273"/>
      <c r="BJ203" s="273"/>
      <c r="BK203" s="273"/>
      <c r="BL203" s="273"/>
      <c r="BM203" s="273"/>
      <c r="BN203" s="273"/>
    </row>
    <row r="204" spans="1:66" s="250" customFormat="1" x14ac:dyDescent="0.25">
      <c r="A204" s="414"/>
      <c r="B204" s="454"/>
      <c r="C204" s="412"/>
      <c r="D204" s="412"/>
      <c r="E204" s="442"/>
      <c r="F204" s="442"/>
      <c r="G204" s="442"/>
      <c r="H204" s="442"/>
      <c r="I204" s="442"/>
      <c r="J204" s="442"/>
      <c r="K204" s="442"/>
      <c r="L204" s="416"/>
      <c r="M204" s="416"/>
      <c r="N204" s="416"/>
      <c r="O204" s="416"/>
      <c r="P204" s="416"/>
      <c r="Q204" s="398"/>
      <c r="R204" s="398"/>
      <c r="S204" s="398"/>
      <c r="T204" s="398"/>
      <c r="U204" s="457"/>
      <c r="V204" s="393"/>
      <c r="W204" s="392"/>
      <c r="X204" s="390"/>
      <c r="Y204" s="390"/>
      <c r="Z204" s="390"/>
      <c r="AA204" s="390"/>
      <c r="AB204" s="390"/>
      <c r="AC204" s="249"/>
      <c r="AD204" s="249"/>
      <c r="AE204" s="249"/>
      <c r="AF204" s="273"/>
      <c r="AG204" s="273"/>
      <c r="AH204" s="273"/>
      <c r="AI204" s="273"/>
      <c r="AJ204" s="273"/>
      <c r="AK204" s="273"/>
      <c r="AL204" s="273"/>
      <c r="AM204" s="273"/>
      <c r="AN204" s="273"/>
      <c r="AO204" s="273"/>
      <c r="AP204" s="273"/>
      <c r="AQ204" s="273"/>
      <c r="AR204" s="273"/>
      <c r="AS204" s="273"/>
      <c r="AT204" s="273"/>
      <c r="AU204" s="273"/>
      <c r="AV204" s="273"/>
      <c r="AW204" s="273"/>
      <c r="AX204" s="273"/>
      <c r="AY204" s="273"/>
      <c r="AZ204" s="273"/>
      <c r="BA204" s="273"/>
      <c r="BB204" s="273"/>
      <c r="BC204" s="273"/>
      <c r="BD204" s="273"/>
      <c r="BE204" s="273"/>
      <c r="BF204" s="273"/>
      <c r="BG204" s="273"/>
      <c r="BH204" s="273"/>
      <c r="BI204" s="273"/>
      <c r="BJ204" s="273"/>
      <c r="BK204" s="273"/>
      <c r="BL204" s="273"/>
      <c r="BM204" s="273"/>
      <c r="BN204" s="273"/>
    </row>
    <row r="205" spans="1:66" s="250" customFormat="1" x14ac:dyDescent="0.25">
      <c r="A205" s="414"/>
      <c r="B205" s="454"/>
      <c r="C205" s="412"/>
      <c r="D205" s="412"/>
      <c r="E205" s="442"/>
      <c r="F205" s="442"/>
      <c r="G205" s="442"/>
      <c r="H205" s="442"/>
      <c r="I205" s="442"/>
      <c r="J205" s="442"/>
      <c r="K205" s="442"/>
      <c r="L205" s="416"/>
      <c r="M205" s="416"/>
      <c r="N205" s="416"/>
      <c r="O205" s="416"/>
      <c r="P205" s="416"/>
      <c r="Q205" s="398"/>
      <c r="R205" s="398"/>
      <c r="S205" s="398"/>
      <c r="T205" s="398"/>
      <c r="U205" s="457"/>
      <c r="V205" s="393"/>
      <c r="W205" s="392"/>
      <c r="X205" s="390"/>
      <c r="Y205" s="390"/>
      <c r="Z205" s="390"/>
      <c r="AA205" s="390"/>
      <c r="AB205" s="390"/>
      <c r="AC205" s="249"/>
      <c r="AD205" s="249"/>
      <c r="AE205" s="249"/>
      <c r="AF205" s="273"/>
      <c r="AG205" s="273"/>
      <c r="AH205" s="273"/>
      <c r="AI205" s="273"/>
      <c r="AJ205" s="273"/>
      <c r="AK205" s="273"/>
      <c r="AL205" s="273"/>
      <c r="AM205" s="273"/>
      <c r="AN205" s="273"/>
      <c r="AO205" s="273"/>
      <c r="AP205" s="273"/>
      <c r="AQ205" s="273"/>
      <c r="AR205" s="273"/>
      <c r="AS205" s="273"/>
      <c r="AT205" s="273"/>
      <c r="AU205" s="273"/>
      <c r="AV205" s="273"/>
      <c r="AW205" s="273"/>
      <c r="AX205" s="273"/>
      <c r="AY205" s="273"/>
      <c r="AZ205" s="273"/>
      <c r="BA205" s="273"/>
      <c r="BB205" s="273"/>
      <c r="BC205" s="273"/>
      <c r="BD205" s="273"/>
      <c r="BE205" s="273"/>
      <c r="BF205" s="273"/>
      <c r="BG205" s="273"/>
      <c r="BH205" s="273"/>
      <c r="BI205" s="273"/>
      <c r="BJ205" s="273"/>
      <c r="BK205" s="273"/>
      <c r="BL205" s="273"/>
      <c r="BM205" s="273"/>
      <c r="BN205" s="273"/>
    </row>
    <row r="206" spans="1:66" s="250" customFormat="1" x14ac:dyDescent="0.25">
      <c r="A206" s="414"/>
      <c r="B206" s="454"/>
      <c r="C206" s="412"/>
      <c r="D206" s="412"/>
      <c r="E206" s="442"/>
      <c r="F206" s="442"/>
      <c r="G206" s="442"/>
      <c r="H206" s="442"/>
      <c r="I206" s="442"/>
      <c r="J206" s="442"/>
      <c r="K206" s="442"/>
      <c r="L206" s="416"/>
      <c r="M206" s="416"/>
      <c r="N206" s="416"/>
      <c r="O206" s="416"/>
      <c r="P206" s="416"/>
      <c r="Q206" s="398"/>
      <c r="R206" s="398"/>
      <c r="S206" s="398"/>
      <c r="T206" s="398"/>
      <c r="U206" s="457"/>
      <c r="V206" s="393"/>
      <c r="W206" s="392"/>
      <c r="X206" s="390"/>
      <c r="Y206" s="390"/>
      <c r="Z206" s="390"/>
      <c r="AA206" s="390"/>
      <c r="AB206" s="390"/>
      <c r="AC206" s="249"/>
      <c r="AD206" s="249"/>
      <c r="AE206" s="249"/>
      <c r="AF206" s="273"/>
      <c r="AG206" s="273"/>
      <c r="AH206" s="273"/>
      <c r="AI206" s="273"/>
      <c r="AJ206" s="273"/>
      <c r="AK206" s="273"/>
      <c r="AL206" s="273"/>
      <c r="AM206" s="273"/>
      <c r="AN206" s="273"/>
      <c r="AO206" s="273"/>
      <c r="AP206" s="273"/>
      <c r="AQ206" s="273"/>
      <c r="AR206" s="273"/>
      <c r="AS206" s="273"/>
      <c r="AT206" s="273"/>
      <c r="AU206" s="273"/>
      <c r="AV206" s="273"/>
      <c r="AW206" s="273"/>
      <c r="AX206" s="273"/>
      <c r="AY206" s="273"/>
      <c r="AZ206" s="273"/>
      <c r="BA206" s="273"/>
      <c r="BB206" s="273"/>
      <c r="BC206" s="273"/>
      <c r="BD206" s="273"/>
      <c r="BE206" s="273"/>
      <c r="BF206" s="273"/>
      <c r="BG206" s="273"/>
      <c r="BH206" s="273"/>
      <c r="BI206" s="273"/>
      <c r="BJ206" s="273"/>
      <c r="BK206" s="273"/>
      <c r="BL206" s="273"/>
      <c r="BM206" s="273"/>
      <c r="BN206" s="273"/>
    </row>
    <row r="207" spans="1:66" s="250" customFormat="1" x14ac:dyDescent="0.25">
      <c r="A207" s="414"/>
      <c r="B207" s="454"/>
      <c r="C207" s="412"/>
      <c r="D207" s="412"/>
      <c r="E207" s="442"/>
      <c r="F207" s="442"/>
      <c r="G207" s="442"/>
      <c r="H207" s="442"/>
      <c r="I207" s="442"/>
      <c r="J207" s="442"/>
      <c r="K207" s="442"/>
      <c r="L207" s="416"/>
      <c r="M207" s="416"/>
      <c r="N207" s="416"/>
      <c r="O207" s="416"/>
      <c r="P207" s="416"/>
      <c r="Q207" s="398"/>
      <c r="R207" s="398"/>
      <c r="S207" s="398"/>
      <c r="T207" s="398"/>
      <c r="U207" s="457"/>
      <c r="V207" s="393"/>
      <c r="W207" s="392"/>
      <c r="X207" s="390"/>
      <c r="Y207" s="390"/>
      <c r="Z207" s="390"/>
      <c r="AA207" s="390"/>
      <c r="AB207" s="390"/>
      <c r="AC207" s="249"/>
      <c r="AD207" s="249"/>
      <c r="AE207" s="249"/>
      <c r="AF207" s="273"/>
      <c r="AG207" s="273"/>
      <c r="AH207" s="273"/>
      <c r="AI207" s="273"/>
      <c r="AJ207" s="273"/>
      <c r="AK207" s="273"/>
      <c r="AL207" s="273"/>
      <c r="AM207" s="273"/>
      <c r="AN207" s="273"/>
      <c r="AO207" s="273"/>
      <c r="AP207" s="273"/>
      <c r="AQ207" s="273"/>
      <c r="AR207" s="273"/>
      <c r="AS207" s="273"/>
      <c r="AT207" s="273"/>
      <c r="AU207" s="273"/>
      <c r="AV207" s="273"/>
      <c r="AW207" s="273"/>
      <c r="AX207" s="273"/>
      <c r="AY207" s="273"/>
      <c r="AZ207" s="273"/>
      <c r="BA207" s="273"/>
      <c r="BB207" s="273"/>
      <c r="BC207" s="273"/>
      <c r="BD207" s="273"/>
      <c r="BE207" s="273"/>
      <c r="BF207" s="273"/>
      <c r="BG207" s="273"/>
      <c r="BH207" s="273"/>
      <c r="BI207" s="273"/>
      <c r="BJ207" s="273"/>
      <c r="BK207" s="273"/>
      <c r="BL207" s="273"/>
      <c r="BM207" s="273"/>
      <c r="BN207" s="273"/>
    </row>
    <row r="208" spans="1:66" s="250" customFormat="1" x14ac:dyDescent="0.25">
      <c r="A208" s="414"/>
      <c r="B208" s="454"/>
      <c r="C208" s="412"/>
      <c r="D208" s="412"/>
      <c r="E208" s="442"/>
      <c r="F208" s="442"/>
      <c r="G208" s="442"/>
      <c r="H208" s="442"/>
      <c r="I208" s="442"/>
      <c r="J208" s="442"/>
      <c r="K208" s="442"/>
      <c r="L208" s="416"/>
      <c r="M208" s="416"/>
      <c r="N208" s="416"/>
      <c r="O208" s="416"/>
      <c r="P208" s="416"/>
      <c r="Q208" s="398"/>
      <c r="R208" s="398"/>
      <c r="S208" s="398"/>
      <c r="T208" s="398"/>
      <c r="U208" s="457"/>
      <c r="V208" s="393"/>
      <c r="W208" s="392"/>
      <c r="X208" s="390"/>
      <c r="Y208" s="390"/>
      <c r="Z208" s="390"/>
      <c r="AA208" s="390"/>
      <c r="AB208" s="390"/>
      <c r="AC208" s="249"/>
      <c r="AD208" s="249"/>
      <c r="AE208" s="249"/>
      <c r="AF208" s="273"/>
      <c r="AG208" s="273"/>
      <c r="AH208" s="273"/>
      <c r="AI208" s="273"/>
      <c r="AJ208" s="273"/>
      <c r="AK208" s="273"/>
      <c r="AL208" s="273"/>
      <c r="AM208" s="273"/>
      <c r="AN208" s="273"/>
      <c r="AO208" s="273"/>
      <c r="AP208" s="273"/>
      <c r="AQ208" s="273"/>
      <c r="AR208" s="273"/>
      <c r="AS208" s="273"/>
      <c r="AT208" s="273"/>
      <c r="AU208" s="273"/>
      <c r="AV208" s="273"/>
      <c r="AW208" s="273"/>
      <c r="AX208" s="273"/>
      <c r="AY208" s="273"/>
      <c r="AZ208" s="273"/>
      <c r="BA208" s="273"/>
      <c r="BB208" s="273"/>
      <c r="BC208" s="273"/>
      <c r="BD208" s="273"/>
      <c r="BE208" s="273"/>
      <c r="BF208" s="273"/>
      <c r="BG208" s="273"/>
      <c r="BH208" s="273"/>
      <c r="BI208" s="273"/>
      <c r="BJ208" s="273"/>
      <c r="BK208" s="273"/>
      <c r="BL208" s="273"/>
      <c r="BM208" s="273"/>
      <c r="BN208" s="273"/>
    </row>
    <row r="209" spans="1:66" s="250" customFormat="1" x14ac:dyDescent="0.25">
      <c r="A209" s="414"/>
      <c r="B209" s="454"/>
      <c r="C209" s="412"/>
      <c r="D209" s="412"/>
      <c r="E209" s="442"/>
      <c r="F209" s="442"/>
      <c r="G209" s="442"/>
      <c r="H209" s="442"/>
      <c r="I209" s="442"/>
      <c r="J209" s="442"/>
      <c r="K209" s="442"/>
      <c r="L209" s="416"/>
      <c r="M209" s="416"/>
      <c r="N209" s="416"/>
      <c r="O209" s="416"/>
      <c r="P209" s="416"/>
      <c r="Q209" s="398"/>
      <c r="R209" s="398"/>
      <c r="S209" s="398"/>
      <c r="T209" s="398"/>
      <c r="U209" s="457"/>
      <c r="V209" s="393"/>
      <c r="W209" s="392"/>
      <c r="X209" s="390"/>
      <c r="Y209" s="390"/>
      <c r="Z209" s="390"/>
      <c r="AA209" s="390"/>
      <c r="AB209" s="390"/>
      <c r="AC209" s="249"/>
      <c r="AD209" s="249"/>
      <c r="AE209" s="249"/>
      <c r="AF209" s="273"/>
      <c r="AG209" s="273"/>
      <c r="AH209" s="273"/>
      <c r="AI209" s="273"/>
      <c r="AJ209" s="273"/>
      <c r="AK209" s="273"/>
      <c r="AL209" s="273"/>
      <c r="AM209" s="273"/>
      <c r="AN209" s="273"/>
      <c r="AO209" s="273"/>
      <c r="AP209" s="273"/>
      <c r="AQ209" s="273"/>
      <c r="AR209" s="273"/>
      <c r="AS209" s="273"/>
      <c r="AT209" s="273"/>
      <c r="AU209" s="273"/>
      <c r="AV209" s="273"/>
      <c r="AW209" s="273"/>
      <c r="AX209" s="273"/>
      <c r="AY209" s="273"/>
      <c r="AZ209" s="273"/>
      <c r="BA209" s="273"/>
      <c r="BB209" s="273"/>
      <c r="BC209" s="273"/>
      <c r="BD209" s="273"/>
      <c r="BE209" s="273"/>
      <c r="BF209" s="273"/>
      <c r="BG209" s="273"/>
      <c r="BH209" s="273"/>
      <c r="BI209" s="273"/>
      <c r="BJ209" s="273"/>
      <c r="BK209" s="273"/>
      <c r="BL209" s="273"/>
      <c r="BM209" s="273"/>
      <c r="BN209" s="273"/>
    </row>
    <row r="210" spans="1:66" s="250" customFormat="1" x14ac:dyDescent="0.25">
      <c r="A210" s="414"/>
      <c r="B210" s="454"/>
      <c r="C210" s="412"/>
      <c r="D210" s="412"/>
      <c r="E210" s="442"/>
      <c r="F210" s="442"/>
      <c r="G210" s="442"/>
      <c r="H210" s="442"/>
      <c r="I210" s="442"/>
      <c r="J210" s="442"/>
      <c r="K210" s="442"/>
      <c r="L210" s="416"/>
      <c r="M210" s="416"/>
      <c r="N210" s="416"/>
      <c r="O210" s="416"/>
      <c r="P210" s="416"/>
      <c r="Q210" s="398"/>
      <c r="R210" s="398"/>
      <c r="S210" s="398"/>
      <c r="T210" s="398"/>
      <c r="U210" s="457"/>
      <c r="V210" s="393"/>
      <c r="W210" s="392"/>
      <c r="X210" s="390"/>
      <c r="Y210" s="390"/>
      <c r="Z210" s="390"/>
      <c r="AA210" s="390"/>
      <c r="AB210" s="390"/>
      <c r="AC210" s="249"/>
      <c r="AD210" s="249"/>
      <c r="AE210" s="249"/>
      <c r="AF210" s="273"/>
      <c r="AG210" s="273"/>
      <c r="AH210" s="273"/>
      <c r="AI210" s="273"/>
      <c r="AJ210" s="273"/>
      <c r="AK210" s="273"/>
      <c r="AL210" s="273"/>
      <c r="AM210" s="273"/>
      <c r="AN210" s="273"/>
      <c r="AO210" s="273"/>
      <c r="AP210" s="273"/>
      <c r="AQ210" s="273"/>
      <c r="AR210" s="273"/>
      <c r="AS210" s="273"/>
      <c r="AT210" s="273"/>
      <c r="AU210" s="273"/>
      <c r="AV210" s="273"/>
      <c r="AW210" s="273"/>
      <c r="AX210" s="273"/>
      <c r="AY210" s="273"/>
      <c r="AZ210" s="273"/>
      <c r="BA210" s="273"/>
      <c r="BB210" s="273"/>
      <c r="BC210" s="273"/>
      <c r="BD210" s="273"/>
      <c r="BE210" s="273"/>
      <c r="BF210" s="273"/>
      <c r="BG210" s="273"/>
      <c r="BH210" s="273"/>
      <c r="BI210" s="273"/>
      <c r="BJ210" s="273"/>
      <c r="BK210" s="273"/>
      <c r="BL210" s="273"/>
      <c r="BM210" s="273"/>
      <c r="BN210" s="273"/>
    </row>
    <row r="211" spans="1:66" s="250" customFormat="1" x14ac:dyDescent="0.25">
      <c r="A211" s="414"/>
      <c r="B211" s="454"/>
      <c r="C211" s="412"/>
      <c r="D211" s="412"/>
      <c r="E211" s="442"/>
      <c r="F211" s="442"/>
      <c r="G211" s="442"/>
      <c r="H211" s="442"/>
      <c r="I211" s="442"/>
      <c r="J211" s="442"/>
      <c r="K211" s="442"/>
      <c r="L211" s="416"/>
      <c r="M211" s="416"/>
      <c r="N211" s="416"/>
      <c r="O211" s="416"/>
      <c r="P211" s="416"/>
      <c r="Q211" s="398"/>
      <c r="R211" s="398"/>
      <c r="S211" s="398"/>
      <c r="T211" s="398"/>
      <c r="U211" s="457"/>
      <c r="V211" s="393"/>
      <c r="W211" s="392"/>
      <c r="X211" s="390"/>
      <c r="Y211" s="390"/>
      <c r="Z211" s="390"/>
      <c r="AA211" s="390"/>
      <c r="AB211" s="390"/>
      <c r="AC211" s="249"/>
      <c r="AD211" s="249"/>
      <c r="AE211" s="249"/>
      <c r="AF211" s="273"/>
      <c r="AG211" s="273"/>
      <c r="AH211" s="273"/>
      <c r="AI211" s="273"/>
      <c r="AJ211" s="273"/>
      <c r="AK211" s="273"/>
      <c r="AL211" s="273"/>
      <c r="AM211" s="273"/>
      <c r="AN211" s="273"/>
      <c r="AO211" s="273"/>
      <c r="AP211" s="273"/>
      <c r="AQ211" s="273"/>
      <c r="AR211" s="273"/>
      <c r="AS211" s="273"/>
      <c r="AT211" s="273"/>
      <c r="AU211" s="273"/>
      <c r="AV211" s="273"/>
      <c r="AW211" s="273"/>
      <c r="AX211" s="273"/>
      <c r="AY211" s="273"/>
      <c r="AZ211" s="273"/>
      <c r="BA211" s="273"/>
      <c r="BB211" s="273"/>
      <c r="BC211" s="273"/>
      <c r="BD211" s="273"/>
      <c r="BE211" s="273"/>
      <c r="BF211" s="273"/>
      <c r="BG211" s="273"/>
      <c r="BH211" s="273"/>
      <c r="BI211" s="273"/>
      <c r="BJ211" s="273"/>
      <c r="BK211" s="273"/>
      <c r="BL211" s="273"/>
      <c r="BM211" s="273"/>
      <c r="BN211" s="273"/>
    </row>
    <row r="212" spans="1:66" s="250" customFormat="1" x14ac:dyDescent="0.25">
      <c r="A212" s="414"/>
      <c r="B212" s="454"/>
      <c r="C212" s="412"/>
      <c r="D212" s="412"/>
      <c r="E212" s="442"/>
      <c r="F212" s="442"/>
      <c r="G212" s="442"/>
      <c r="H212" s="442"/>
      <c r="I212" s="442"/>
      <c r="J212" s="442"/>
      <c r="K212" s="442"/>
      <c r="L212" s="416"/>
      <c r="M212" s="416"/>
      <c r="N212" s="416"/>
      <c r="O212" s="416"/>
      <c r="P212" s="416"/>
      <c r="Q212" s="398"/>
      <c r="R212" s="398"/>
      <c r="S212" s="398"/>
      <c r="T212" s="398"/>
      <c r="U212" s="457"/>
      <c r="V212" s="393"/>
      <c r="W212" s="392"/>
      <c r="X212" s="390"/>
      <c r="Y212" s="390"/>
      <c r="Z212" s="390"/>
      <c r="AA212" s="390"/>
      <c r="AB212" s="390"/>
      <c r="AC212" s="249"/>
      <c r="AD212" s="249"/>
      <c r="AE212" s="249"/>
      <c r="AF212" s="273"/>
      <c r="AG212" s="273"/>
      <c r="AH212" s="273"/>
      <c r="AI212" s="273"/>
      <c r="AJ212" s="273"/>
      <c r="AK212" s="273"/>
      <c r="AL212" s="273"/>
      <c r="AM212" s="273"/>
      <c r="AN212" s="273"/>
      <c r="AO212" s="273"/>
      <c r="AP212" s="273"/>
      <c r="AQ212" s="273"/>
      <c r="AR212" s="273"/>
      <c r="AS212" s="273"/>
      <c r="AT212" s="273"/>
      <c r="AU212" s="273"/>
      <c r="AV212" s="273"/>
      <c r="AW212" s="273"/>
      <c r="AX212" s="273"/>
      <c r="AY212" s="273"/>
      <c r="AZ212" s="273"/>
      <c r="BA212" s="273"/>
      <c r="BB212" s="273"/>
      <c r="BC212" s="273"/>
      <c r="BD212" s="273"/>
      <c r="BE212" s="273"/>
      <c r="BF212" s="273"/>
      <c r="BG212" s="273"/>
      <c r="BH212" s="273"/>
      <c r="BI212" s="273"/>
      <c r="BJ212" s="273"/>
      <c r="BK212" s="273"/>
      <c r="BL212" s="273"/>
      <c r="BM212" s="273"/>
      <c r="BN212" s="273"/>
    </row>
    <row r="213" spans="1:66" s="250" customFormat="1" x14ac:dyDescent="0.25">
      <c r="A213" s="414"/>
      <c r="B213" s="454"/>
      <c r="C213" s="412"/>
      <c r="D213" s="412"/>
      <c r="E213" s="442"/>
      <c r="F213" s="442"/>
      <c r="G213" s="442"/>
      <c r="H213" s="442"/>
      <c r="I213" s="442"/>
      <c r="J213" s="442"/>
      <c r="K213" s="442"/>
      <c r="L213" s="416"/>
      <c r="M213" s="416"/>
      <c r="N213" s="416"/>
      <c r="O213" s="416"/>
      <c r="P213" s="416"/>
      <c r="Q213" s="398"/>
      <c r="R213" s="398"/>
      <c r="S213" s="398"/>
      <c r="T213" s="398"/>
      <c r="U213" s="457"/>
      <c r="V213" s="393"/>
      <c r="W213" s="392"/>
      <c r="X213" s="390"/>
      <c r="Y213" s="390"/>
      <c r="Z213" s="390"/>
      <c r="AA213" s="390"/>
      <c r="AB213" s="390"/>
      <c r="AC213" s="249"/>
      <c r="AD213" s="249"/>
      <c r="AE213" s="249"/>
      <c r="AF213" s="273"/>
      <c r="AG213" s="273"/>
      <c r="AH213" s="273"/>
      <c r="AI213" s="273"/>
      <c r="AJ213" s="273"/>
      <c r="AK213" s="273"/>
      <c r="AL213" s="273"/>
      <c r="AM213" s="273"/>
      <c r="AN213" s="273"/>
      <c r="AO213" s="273"/>
      <c r="AP213" s="273"/>
      <c r="AQ213" s="273"/>
      <c r="AR213" s="273"/>
      <c r="AS213" s="273"/>
      <c r="AT213" s="273"/>
      <c r="AU213" s="273"/>
      <c r="AV213" s="273"/>
      <c r="AW213" s="273"/>
      <c r="AX213" s="273"/>
      <c r="AY213" s="273"/>
      <c r="AZ213" s="273"/>
      <c r="BA213" s="273"/>
      <c r="BB213" s="273"/>
      <c r="BC213" s="273"/>
      <c r="BD213" s="273"/>
      <c r="BE213" s="273"/>
      <c r="BF213" s="273"/>
      <c r="BG213" s="273"/>
      <c r="BH213" s="273"/>
      <c r="BI213" s="273"/>
      <c r="BJ213" s="273"/>
      <c r="BK213" s="273"/>
      <c r="BL213" s="273"/>
      <c r="BM213" s="273"/>
      <c r="BN213" s="273"/>
    </row>
    <row r="214" spans="1:66" s="250" customFormat="1" x14ac:dyDescent="0.25">
      <c r="A214" s="414"/>
      <c r="B214" s="454"/>
      <c r="C214" s="412"/>
      <c r="D214" s="412"/>
      <c r="E214" s="442"/>
      <c r="F214" s="442"/>
      <c r="G214" s="442"/>
      <c r="H214" s="442"/>
      <c r="I214" s="442"/>
      <c r="J214" s="442"/>
      <c r="K214" s="442"/>
      <c r="L214" s="416"/>
      <c r="M214" s="416"/>
      <c r="N214" s="416"/>
      <c r="O214" s="416"/>
      <c r="P214" s="416"/>
      <c r="Q214" s="398"/>
      <c r="R214" s="398"/>
      <c r="S214" s="398"/>
      <c r="T214" s="398"/>
      <c r="U214" s="457"/>
      <c r="V214" s="393"/>
      <c r="W214" s="392"/>
      <c r="X214" s="390"/>
      <c r="Y214" s="390"/>
      <c r="Z214" s="390"/>
      <c r="AA214" s="390"/>
      <c r="AB214" s="390"/>
      <c r="AC214" s="249"/>
      <c r="AD214" s="249"/>
      <c r="AE214" s="249"/>
      <c r="AF214" s="273"/>
      <c r="AG214" s="273"/>
      <c r="AH214" s="273"/>
      <c r="AI214" s="273"/>
      <c r="AJ214" s="273"/>
      <c r="AK214" s="273"/>
      <c r="AL214" s="273"/>
      <c r="AM214" s="273"/>
      <c r="AN214" s="273"/>
      <c r="AO214" s="273"/>
      <c r="AP214" s="273"/>
      <c r="AQ214" s="273"/>
      <c r="AR214" s="273"/>
      <c r="AS214" s="273"/>
      <c r="AT214" s="273"/>
      <c r="AU214" s="273"/>
      <c r="AV214" s="273"/>
      <c r="AW214" s="273"/>
      <c r="AX214" s="273"/>
      <c r="AY214" s="273"/>
      <c r="AZ214" s="273"/>
      <c r="BA214" s="273"/>
      <c r="BB214" s="273"/>
      <c r="BC214" s="273"/>
      <c r="BD214" s="273"/>
      <c r="BE214" s="273"/>
      <c r="BF214" s="273"/>
      <c r="BG214" s="273"/>
      <c r="BH214" s="273"/>
      <c r="BI214" s="273"/>
      <c r="BJ214" s="273"/>
      <c r="BK214" s="273"/>
      <c r="BL214" s="273"/>
      <c r="BM214" s="273"/>
      <c r="BN214" s="273"/>
    </row>
    <row r="215" spans="1:66" s="250" customFormat="1" x14ac:dyDescent="0.25">
      <c r="A215" s="414"/>
      <c r="B215" s="454"/>
      <c r="C215" s="412"/>
      <c r="D215" s="412"/>
      <c r="E215" s="442"/>
      <c r="F215" s="442"/>
      <c r="G215" s="442"/>
      <c r="H215" s="442"/>
      <c r="I215" s="442"/>
      <c r="J215" s="442"/>
      <c r="K215" s="442"/>
      <c r="L215" s="416"/>
      <c r="M215" s="416"/>
      <c r="N215" s="416"/>
      <c r="O215" s="416"/>
      <c r="P215" s="416"/>
      <c r="Q215" s="398"/>
      <c r="R215" s="398"/>
      <c r="S215" s="398"/>
      <c r="T215" s="398"/>
      <c r="U215" s="457"/>
      <c r="V215" s="393"/>
      <c r="W215" s="392"/>
      <c r="X215" s="390"/>
      <c r="Y215" s="390"/>
      <c r="Z215" s="390"/>
      <c r="AA215" s="390"/>
      <c r="AB215" s="390"/>
      <c r="AC215" s="249"/>
      <c r="AD215" s="249"/>
      <c r="AE215" s="249"/>
      <c r="AF215" s="273"/>
      <c r="AG215" s="273"/>
      <c r="AH215" s="273"/>
      <c r="AI215" s="273"/>
      <c r="AJ215" s="273"/>
      <c r="AK215" s="273"/>
      <c r="AL215" s="273"/>
      <c r="AM215" s="273"/>
      <c r="AN215" s="273"/>
      <c r="AO215" s="273"/>
      <c r="AP215" s="273"/>
      <c r="AQ215" s="273"/>
      <c r="AR215" s="273"/>
      <c r="AS215" s="273"/>
      <c r="AT215" s="273"/>
      <c r="AU215" s="273"/>
      <c r="AV215" s="273"/>
      <c r="AW215" s="273"/>
      <c r="AX215" s="273"/>
      <c r="AY215" s="273"/>
      <c r="AZ215" s="273"/>
      <c r="BA215" s="273"/>
      <c r="BB215" s="273"/>
      <c r="BC215" s="273"/>
      <c r="BD215" s="273"/>
      <c r="BE215" s="273"/>
      <c r="BF215" s="273"/>
      <c r="BG215" s="273"/>
      <c r="BH215" s="273"/>
      <c r="BI215" s="273"/>
      <c r="BJ215" s="273"/>
      <c r="BK215" s="273"/>
      <c r="BL215" s="273"/>
      <c r="BM215" s="273"/>
      <c r="BN215" s="273"/>
    </row>
    <row r="216" spans="1:66" s="250" customFormat="1" x14ac:dyDescent="0.25">
      <c r="A216" s="414"/>
      <c r="B216" s="454"/>
      <c r="C216" s="412"/>
      <c r="D216" s="412"/>
      <c r="E216" s="442"/>
      <c r="F216" s="442"/>
      <c r="G216" s="442"/>
      <c r="H216" s="442"/>
      <c r="I216" s="442"/>
      <c r="J216" s="442"/>
      <c r="K216" s="442"/>
      <c r="L216" s="416"/>
      <c r="M216" s="416"/>
      <c r="N216" s="416"/>
      <c r="O216" s="416"/>
      <c r="P216" s="416"/>
      <c r="Q216" s="398"/>
      <c r="R216" s="398"/>
      <c r="S216" s="398"/>
      <c r="T216" s="398"/>
      <c r="U216" s="457"/>
      <c r="V216" s="393"/>
      <c r="W216" s="392"/>
      <c r="X216" s="390"/>
      <c r="Y216" s="390"/>
      <c r="Z216" s="390"/>
      <c r="AA216" s="390"/>
      <c r="AB216" s="390"/>
      <c r="AC216" s="249"/>
      <c r="AD216" s="249"/>
      <c r="AE216" s="249"/>
      <c r="AF216" s="273"/>
      <c r="AG216" s="273"/>
      <c r="AH216" s="273"/>
      <c r="AI216" s="273"/>
      <c r="AJ216" s="273"/>
      <c r="AK216" s="273"/>
      <c r="AL216" s="273"/>
      <c r="AM216" s="273"/>
      <c r="AN216" s="273"/>
      <c r="AO216" s="273"/>
      <c r="AP216" s="273"/>
      <c r="AQ216" s="273"/>
      <c r="AR216" s="273"/>
      <c r="AS216" s="273"/>
      <c r="AT216" s="273"/>
      <c r="AU216" s="273"/>
      <c r="AV216" s="273"/>
      <c r="AW216" s="273"/>
      <c r="AX216" s="273"/>
      <c r="AY216" s="273"/>
      <c r="AZ216" s="273"/>
      <c r="BA216" s="273"/>
      <c r="BB216" s="273"/>
      <c r="BC216" s="273"/>
      <c r="BD216" s="273"/>
      <c r="BE216" s="273"/>
      <c r="BF216" s="273"/>
      <c r="BG216" s="273"/>
      <c r="BH216" s="273"/>
      <c r="BI216" s="273"/>
      <c r="BJ216" s="273"/>
      <c r="BK216" s="273"/>
      <c r="BL216" s="273"/>
      <c r="BM216" s="273"/>
      <c r="BN216" s="273"/>
    </row>
    <row r="217" spans="1:66" s="250" customFormat="1" x14ac:dyDescent="0.25">
      <c r="A217" s="414"/>
      <c r="B217" s="454"/>
      <c r="C217" s="412"/>
      <c r="D217" s="412"/>
      <c r="E217" s="442"/>
      <c r="F217" s="442"/>
      <c r="G217" s="442"/>
      <c r="H217" s="442"/>
      <c r="I217" s="442"/>
      <c r="J217" s="442"/>
      <c r="K217" s="442"/>
      <c r="L217" s="416"/>
      <c r="M217" s="416"/>
      <c r="N217" s="416"/>
      <c r="O217" s="416"/>
      <c r="P217" s="416"/>
      <c r="Q217" s="398"/>
      <c r="R217" s="398"/>
      <c r="S217" s="398"/>
      <c r="T217" s="398"/>
      <c r="U217" s="457"/>
      <c r="V217" s="393"/>
      <c r="W217" s="392"/>
      <c r="X217" s="390"/>
      <c r="Y217" s="390"/>
      <c r="Z217" s="390"/>
      <c r="AA217" s="390"/>
      <c r="AB217" s="390"/>
      <c r="AC217" s="249"/>
      <c r="AD217" s="249"/>
      <c r="AE217" s="249"/>
      <c r="AF217" s="273"/>
      <c r="AG217" s="273"/>
      <c r="AH217" s="273"/>
      <c r="AI217" s="273"/>
      <c r="AJ217" s="273"/>
      <c r="AK217" s="273"/>
      <c r="AL217" s="273"/>
      <c r="AM217" s="273"/>
      <c r="AN217" s="273"/>
      <c r="AO217" s="273"/>
      <c r="AP217" s="273"/>
      <c r="AQ217" s="273"/>
      <c r="AR217" s="273"/>
      <c r="AS217" s="273"/>
      <c r="AT217" s="273"/>
      <c r="AU217" s="273"/>
      <c r="AV217" s="273"/>
      <c r="AW217" s="273"/>
      <c r="AX217" s="273"/>
      <c r="AY217" s="273"/>
      <c r="AZ217" s="273"/>
      <c r="BA217" s="273"/>
      <c r="BB217" s="273"/>
      <c r="BC217" s="273"/>
      <c r="BD217" s="273"/>
      <c r="BE217" s="273"/>
      <c r="BF217" s="273"/>
      <c r="BG217" s="273"/>
      <c r="BH217" s="273"/>
      <c r="BI217" s="273"/>
      <c r="BJ217" s="273"/>
      <c r="BK217" s="273"/>
      <c r="BL217" s="273"/>
      <c r="BM217" s="273"/>
      <c r="BN217" s="273"/>
    </row>
    <row r="218" spans="1:66" s="250" customFormat="1" x14ac:dyDescent="0.25">
      <c r="A218" s="414"/>
      <c r="B218" s="454"/>
      <c r="C218" s="412"/>
      <c r="D218" s="412"/>
      <c r="E218" s="442"/>
      <c r="F218" s="442"/>
      <c r="G218" s="442"/>
      <c r="H218" s="442"/>
      <c r="I218" s="442"/>
      <c r="J218" s="442"/>
      <c r="K218" s="442"/>
      <c r="L218" s="416"/>
      <c r="M218" s="416"/>
      <c r="N218" s="416"/>
      <c r="O218" s="416"/>
      <c r="P218" s="416"/>
      <c r="Q218" s="398"/>
      <c r="R218" s="398"/>
      <c r="S218" s="398"/>
      <c r="T218" s="398"/>
      <c r="U218" s="457"/>
      <c r="V218" s="393"/>
      <c r="W218" s="392"/>
      <c r="X218" s="390"/>
      <c r="Y218" s="390"/>
      <c r="Z218" s="390"/>
      <c r="AA218" s="390"/>
      <c r="AB218" s="390"/>
      <c r="AC218" s="249"/>
      <c r="AD218" s="249"/>
      <c r="AE218" s="249"/>
      <c r="AF218" s="273"/>
      <c r="AG218" s="273"/>
      <c r="AH218" s="273"/>
      <c r="AI218" s="273"/>
      <c r="AJ218" s="273"/>
      <c r="AK218" s="273"/>
      <c r="AL218" s="273"/>
      <c r="AM218" s="273"/>
      <c r="AN218" s="273"/>
      <c r="AO218" s="273"/>
      <c r="AP218" s="273"/>
      <c r="AQ218" s="273"/>
      <c r="AR218" s="273"/>
      <c r="AS218" s="273"/>
      <c r="AT218" s="273"/>
      <c r="AU218" s="273"/>
      <c r="AV218" s="273"/>
      <c r="AW218" s="273"/>
      <c r="AX218" s="273"/>
      <c r="AY218" s="273"/>
      <c r="AZ218" s="273"/>
      <c r="BA218" s="273"/>
      <c r="BB218" s="273"/>
      <c r="BC218" s="273"/>
      <c r="BD218" s="273"/>
      <c r="BE218" s="273"/>
      <c r="BF218" s="273"/>
      <c r="BG218" s="273"/>
      <c r="BH218" s="273"/>
      <c r="BI218" s="273"/>
      <c r="BJ218" s="273"/>
      <c r="BK218" s="273"/>
      <c r="BL218" s="273"/>
      <c r="BM218" s="273"/>
      <c r="BN218" s="273"/>
    </row>
    <row r="219" spans="1:66" s="250" customFormat="1" x14ac:dyDescent="0.25">
      <c r="A219" s="414"/>
      <c r="B219" s="454"/>
      <c r="C219" s="412"/>
      <c r="D219" s="412"/>
      <c r="E219" s="442"/>
      <c r="F219" s="442"/>
      <c r="G219" s="442"/>
      <c r="H219" s="442"/>
      <c r="I219" s="442"/>
      <c r="J219" s="442"/>
      <c r="K219" s="442"/>
      <c r="L219" s="416"/>
      <c r="M219" s="416"/>
      <c r="N219" s="416"/>
      <c r="O219" s="416"/>
      <c r="P219" s="416"/>
      <c r="Q219" s="398"/>
      <c r="R219" s="398"/>
      <c r="S219" s="398"/>
      <c r="T219" s="398"/>
      <c r="U219" s="457"/>
      <c r="V219" s="393"/>
      <c r="W219" s="392"/>
      <c r="X219" s="390"/>
      <c r="Y219" s="390"/>
      <c r="Z219" s="390"/>
      <c r="AA219" s="390"/>
      <c r="AB219" s="390"/>
      <c r="AC219" s="249"/>
      <c r="AD219" s="249"/>
      <c r="AE219" s="249"/>
      <c r="AF219" s="273"/>
      <c r="AG219" s="273"/>
      <c r="AH219" s="273"/>
      <c r="AI219" s="273"/>
      <c r="AJ219" s="273"/>
      <c r="AK219" s="273"/>
      <c r="AL219" s="273"/>
      <c r="AM219" s="273"/>
      <c r="AN219" s="273"/>
      <c r="AO219" s="273"/>
      <c r="AP219" s="273"/>
      <c r="AQ219" s="273"/>
      <c r="AR219" s="273"/>
      <c r="AS219" s="273"/>
      <c r="AT219" s="273"/>
      <c r="AU219" s="273"/>
      <c r="AV219" s="273"/>
      <c r="AW219" s="273"/>
      <c r="AX219" s="273"/>
      <c r="AY219" s="273"/>
      <c r="AZ219" s="273"/>
      <c r="BA219" s="273"/>
      <c r="BB219" s="273"/>
      <c r="BC219" s="273"/>
      <c r="BD219" s="273"/>
      <c r="BE219" s="273"/>
      <c r="BF219" s="273"/>
      <c r="BG219" s="273"/>
      <c r="BH219" s="273"/>
      <c r="BI219" s="273"/>
      <c r="BJ219" s="273"/>
      <c r="BK219" s="273"/>
      <c r="BL219" s="273"/>
      <c r="BM219" s="273"/>
      <c r="BN219" s="273"/>
    </row>
    <row r="220" spans="1:66" s="250" customFormat="1" x14ac:dyDescent="0.25">
      <c r="A220" s="414"/>
      <c r="B220" s="454"/>
      <c r="C220" s="412"/>
      <c r="D220" s="412"/>
      <c r="E220" s="442"/>
      <c r="F220" s="442"/>
      <c r="G220" s="442"/>
      <c r="H220" s="442"/>
      <c r="I220" s="442"/>
      <c r="J220" s="442"/>
      <c r="K220" s="442"/>
      <c r="L220" s="416"/>
      <c r="M220" s="416"/>
      <c r="N220" s="416"/>
      <c r="O220" s="416"/>
      <c r="P220" s="416"/>
      <c r="Q220" s="398"/>
      <c r="R220" s="398"/>
      <c r="S220" s="398"/>
      <c r="T220" s="398"/>
      <c r="U220" s="457"/>
      <c r="V220" s="393"/>
      <c r="W220" s="392"/>
      <c r="X220" s="390"/>
      <c r="Y220" s="390"/>
      <c r="Z220" s="390"/>
      <c r="AA220" s="390"/>
      <c r="AB220" s="390"/>
      <c r="AC220" s="249"/>
      <c r="AD220" s="249"/>
      <c r="AE220" s="249"/>
      <c r="AF220" s="273"/>
      <c r="AG220" s="273"/>
      <c r="AH220" s="273"/>
      <c r="AI220" s="273"/>
      <c r="AJ220" s="273"/>
      <c r="AK220" s="273"/>
      <c r="AL220" s="273"/>
      <c r="AM220" s="273"/>
      <c r="AN220" s="273"/>
      <c r="AO220" s="273"/>
      <c r="AP220" s="273"/>
      <c r="AQ220" s="273"/>
      <c r="AR220" s="273"/>
      <c r="AS220" s="273"/>
      <c r="AT220" s="273"/>
      <c r="AU220" s="273"/>
      <c r="AV220" s="273"/>
      <c r="AW220" s="273"/>
      <c r="AX220" s="273"/>
      <c r="AY220" s="273"/>
      <c r="AZ220" s="273"/>
      <c r="BA220" s="273"/>
      <c r="BB220" s="273"/>
      <c r="BC220" s="273"/>
      <c r="BD220" s="273"/>
      <c r="BE220" s="273"/>
      <c r="BF220" s="273"/>
      <c r="BG220" s="273"/>
      <c r="BH220" s="273"/>
      <c r="BI220" s="273"/>
      <c r="BJ220" s="273"/>
      <c r="BK220" s="273"/>
      <c r="BL220" s="273"/>
      <c r="BM220" s="273"/>
      <c r="BN220" s="273"/>
    </row>
    <row r="221" spans="1:66" s="250" customFormat="1" x14ac:dyDescent="0.25">
      <c r="A221" s="414"/>
      <c r="B221" s="454"/>
      <c r="C221" s="412"/>
      <c r="D221" s="412"/>
      <c r="E221" s="442"/>
      <c r="F221" s="442"/>
      <c r="G221" s="442"/>
      <c r="H221" s="442"/>
      <c r="I221" s="442"/>
      <c r="J221" s="442"/>
      <c r="K221" s="442"/>
      <c r="L221" s="416"/>
      <c r="M221" s="416"/>
      <c r="N221" s="416"/>
      <c r="O221" s="416"/>
      <c r="P221" s="416"/>
      <c r="Q221" s="398"/>
      <c r="R221" s="398"/>
      <c r="S221" s="398"/>
      <c r="T221" s="398"/>
      <c r="U221" s="457"/>
      <c r="V221" s="393"/>
      <c r="W221" s="392"/>
      <c r="X221" s="390"/>
      <c r="Y221" s="390"/>
      <c r="Z221" s="390"/>
      <c r="AA221" s="390"/>
      <c r="AB221" s="390"/>
      <c r="AC221" s="249"/>
      <c r="AD221" s="249"/>
      <c r="AE221" s="249"/>
      <c r="AF221" s="273"/>
      <c r="AG221" s="273"/>
      <c r="AH221" s="273"/>
      <c r="AI221" s="273"/>
      <c r="AJ221" s="273"/>
      <c r="AK221" s="273"/>
      <c r="AL221" s="273"/>
      <c r="AM221" s="273"/>
      <c r="AN221" s="273"/>
      <c r="AO221" s="273"/>
      <c r="AP221" s="273"/>
      <c r="AQ221" s="273"/>
      <c r="AR221" s="273"/>
      <c r="AS221" s="273"/>
      <c r="AT221" s="273"/>
      <c r="AU221" s="273"/>
      <c r="AV221" s="273"/>
      <c r="AW221" s="273"/>
      <c r="AX221" s="273"/>
      <c r="AY221" s="273"/>
      <c r="AZ221" s="273"/>
      <c r="BA221" s="273"/>
      <c r="BB221" s="273"/>
      <c r="BC221" s="273"/>
      <c r="BD221" s="273"/>
      <c r="BE221" s="273"/>
      <c r="BF221" s="273"/>
      <c r="BG221" s="273"/>
      <c r="BH221" s="273"/>
      <c r="BI221" s="273"/>
      <c r="BJ221" s="273"/>
      <c r="BK221" s="273"/>
      <c r="BL221" s="273"/>
      <c r="BM221" s="273"/>
      <c r="BN221" s="273"/>
    </row>
    <row r="222" spans="1:66" s="250" customFormat="1" x14ac:dyDescent="0.25">
      <c r="A222" s="414"/>
      <c r="B222" s="454"/>
      <c r="C222" s="412"/>
      <c r="D222" s="412"/>
      <c r="E222" s="442"/>
      <c r="F222" s="442"/>
      <c r="G222" s="442"/>
      <c r="H222" s="442"/>
      <c r="I222" s="442"/>
      <c r="J222" s="442"/>
      <c r="K222" s="442"/>
      <c r="L222" s="416"/>
      <c r="M222" s="416"/>
      <c r="N222" s="416"/>
      <c r="O222" s="416"/>
      <c r="P222" s="416"/>
      <c r="Q222" s="398"/>
      <c r="R222" s="398"/>
      <c r="S222" s="398"/>
      <c r="T222" s="398"/>
      <c r="U222" s="457"/>
      <c r="V222" s="393"/>
      <c r="W222" s="392"/>
      <c r="X222" s="390"/>
      <c r="Y222" s="390"/>
      <c r="Z222" s="390"/>
      <c r="AA222" s="390"/>
      <c r="AB222" s="390"/>
      <c r="AC222" s="249"/>
      <c r="AD222" s="249"/>
      <c r="AE222" s="249"/>
      <c r="AF222" s="273"/>
      <c r="AG222" s="273"/>
      <c r="AH222" s="273"/>
      <c r="AI222" s="273"/>
      <c r="AJ222" s="273"/>
      <c r="AK222" s="273"/>
      <c r="AL222" s="273"/>
      <c r="AM222" s="273"/>
      <c r="AN222" s="273"/>
      <c r="AO222" s="273"/>
      <c r="AP222" s="273"/>
      <c r="AQ222" s="273"/>
      <c r="AR222" s="273"/>
      <c r="AS222" s="273"/>
      <c r="AT222" s="273"/>
      <c r="AU222" s="273"/>
      <c r="AV222" s="273"/>
      <c r="AW222" s="273"/>
      <c r="AX222" s="273"/>
      <c r="AY222" s="273"/>
      <c r="AZ222" s="273"/>
      <c r="BA222" s="273"/>
      <c r="BB222" s="273"/>
      <c r="BC222" s="273"/>
      <c r="BD222" s="273"/>
      <c r="BE222" s="273"/>
      <c r="BF222" s="273"/>
      <c r="BG222" s="273"/>
      <c r="BH222" s="273"/>
      <c r="BI222" s="273"/>
      <c r="BJ222" s="273"/>
      <c r="BK222" s="273"/>
      <c r="BL222" s="273"/>
      <c r="BM222" s="273"/>
      <c r="BN222" s="273"/>
    </row>
    <row r="223" spans="1:66" s="250" customFormat="1" x14ac:dyDescent="0.25">
      <c r="A223" s="414"/>
      <c r="B223" s="454"/>
      <c r="C223" s="412"/>
      <c r="D223" s="412"/>
      <c r="E223" s="442"/>
      <c r="F223" s="442"/>
      <c r="G223" s="442"/>
      <c r="H223" s="442"/>
      <c r="I223" s="442"/>
      <c r="J223" s="442"/>
      <c r="K223" s="442"/>
      <c r="L223" s="416"/>
      <c r="M223" s="416"/>
      <c r="N223" s="416"/>
      <c r="O223" s="416"/>
      <c r="P223" s="416"/>
      <c r="Q223" s="398"/>
      <c r="R223" s="398"/>
      <c r="S223" s="398"/>
      <c r="T223" s="398"/>
      <c r="U223" s="457"/>
      <c r="V223" s="393"/>
      <c r="W223" s="392"/>
      <c r="X223" s="390"/>
      <c r="Y223" s="390"/>
      <c r="Z223" s="390"/>
      <c r="AA223" s="390"/>
      <c r="AB223" s="390"/>
      <c r="AC223" s="249"/>
      <c r="AD223" s="249"/>
      <c r="AE223" s="249"/>
      <c r="AF223" s="273"/>
      <c r="AG223" s="273"/>
      <c r="AH223" s="273"/>
      <c r="AI223" s="273"/>
      <c r="AJ223" s="273"/>
      <c r="AK223" s="273"/>
      <c r="AL223" s="273"/>
      <c r="AM223" s="273"/>
      <c r="AN223" s="273"/>
      <c r="AO223" s="273"/>
      <c r="AP223" s="273"/>
      <c r="AQ223" s="273"/>
      <c r="AR223" s="273"/>
      <c r="AS223" s="273"/>
      <c r="AT223" s="273"/>
      <c r="AU223" s="273"/>
      <c r="AV223" s="273"/>
      <c r="AW223" s="273"/>
      <c r="AX223" s="273"/>
      <c r="AY223" s="273"/>
      <c r="AZ223" s="273"/>
      <c r="BA223" s="273"/>
      <c r="BB223" s="273"/>
      <c r="BC223" s="273"/>
      <c r="BD223" s="273"/>
      <c r="BE223" s="273"/>
      <c r="BF223" s="273"/>
      <c r="BG223" s="273"/>
      <c r="BH223" s="273"/>
      <c r="BI223" s="273"/>
      <c r="BJ223" s="273"/>
      <c r="BK223" s="273"/>
      <c r="BL223" s="273"/>
      <c r="BM223" s="273"/>
      <c r="BN223" s="273"/>
    </row>
    <row r="224" spans="1:66" s="250" customFormat="1" x14ac:dyDescent="0.25">
      <c r="A224" s="414"/>
      <c r="B224" s="454"/>
      <c r="C224" s="412"/>
      <c r="D224" s="412"/>
      <c r="E224" s="442"/>
      <c r="F224" s="442"/>
      <c r="G224" s="442"/>
      <c r="H224" s="442"/>
      <c r="I224" s="442"/>
      <c r="J224" s="442"/>
      <c r="K224" s="442"/>
      <c r="L224" s="416"/>
      <c r="M224" s="416"/>
      <c r="N224" s="416"/>
      <c r="O224" s="416"/>
      <c r="P224" s="416"/>
      <c r="Q224" s="398"/>
      <c r="R224" s="398"/>
      <c r="S224" s="398"/>
      <c r="T224" s="398"/>
      <c r="U224" s="457"/>
      <c r="V224" s="393"/>
      <c r="W224" s="392"/>
      <c r="X224" s="390"/>
      <c r="Y224" s="390"/>
      <c r="Z224" s="390"/>
      <c r="AA224" s="390"/>
      <c r="AB224" s="390"/>
      <c r="AC224" s="249"/>
      <c r="AD224" s="249"/>
      <c r="AE224" s="249"/>
      <c r="AF224" s="273"/>
      <c r="AG224" s="273"/>
      <c r="AH224" s="273"/>
      <c r="AI224" s="273"/>
      <c r="AJ224" s="273"/>
      <c r="AK224" s="273"/>
      <c r="AL224" s="273"/>
      <c r="AM224" s="273"/>
      <c r="AN224" s="273"/>
      <c r="AO224" s="273"/>
      <c r="AP224" s="273"/>
      <c r="AQ224" s="273"/>
      <c r="AR224" s="273"/>
      <c r="AS224" s="273"/>
      <c r="AT224" s="273"/>
      <c r="AU224" s="273"/>
      <c r="AV224" s="273"/>
      <c r="AW224" s="273"/>
      <c r="AX224" s="273"/>
      <c r="AY224" s="273"/>
      <c r="AZ224" s="273"/>
      <c r="BA224" s="273"/>
      <c r="BB224" s="273"/>
      <c r="BC224" s="273"/>
      <c r="BD224" s="273"/>
      <c r="BE224" s="273"/>
      <c r="BF224" s="273"/>
      <c r="BG224" s="273"/>
      <c r="BH224" s="273"/>
      <c r="BI224" s="273"/>
      <c r="BJ224" s="273"/>
      <c r="BK224" s="273"/>
      <c r="BL224" s="273"/>
      <c r="BM224" s="273"/>
      <c r="BN224" s="273"/>
    </row>
    <row r="225" spans="1:66" s="250" customFormat="1" x14ac:dyDescent="0.25">
      <c r="A225" s="414"/>
      <c r="B225" s="454"/>
      <c r="C225" s="412"/>
      <c r="D225" s="412"/>
      <c r="E225" s="442"/>
      <c r="F225" s="442"/>
      <c r="G225" s="442"/>
      <c r="H225" s="442"/>
      <c r="I225" s="442"/>
      <c r="J225" s="442"/>
      <c r="K225" s="442"/>
      <c r="L225" s="416"/>
      <c r="M225" s="416"/>
      <c r="N225" s="416"/>
      <c r="O225" s="416"/>
      <c r="P225" s="416"/>
      <c r="Q225" s="398"/>
      <c r="R225" s="398"/>
      <c r="S225" s="398"/>
      <c r="T225" s="398"/>
      <c r="U225" s="457"/>
      <c r="V225" s="393"/>
      <c r="W225" s="392"/>
      <c r="X225" s="390"/>
      <c r="Y225" s="390"/>
      <c r="Z225" s="390"/>
      <c r="AA225" s="390"/>
      <c r="AB225" s="390"/>
      <c r="AC225" s="249"/>
      <c r="AD225" s="249"/>
      <c r="AE225" s="249"/>
      <c r="AF225" s="273"/>
      <c r="AG225" s="273"/>
      <c r="AH225" s="273"/>
      <c r="AI225" s="273"/>
      <c r="AJ225" s="273"/>
      <c r="AK225" s="273"/>
      <c r="AL225" s="273"/>
      <c r="AM225" s="273"/>
      <c r="AN225" s="273"/>
      <c r="AO225" s="273"/>
      <c r="AP225" s="273"/>
      <c r="AQ225" s="273"/>
      <c r="AR225" s="273"/>
      <c r="AS225" s="273"/>
      <c r="AT225" s="273"/>
      <c r="AU225" s="273"/>
      <c r="AV225" s="273"/>
      <c r="AW225" s="273"/>
      <c r="AX225" s="273"/>
      <c r="AY225" s="273"/>
      <c r="AZ225" s="273"/>
      <c r="BA225" s="273"/>
      <c r="BB225" s="273"/>
      <c r="BC225" s="273"/>
      <c r="BD225" s="273"/>
      <c r="BE225" s="273"/>
      <c r="BF225" s="273"/>
      <c r="BG225" s="273"/>
      <c r="BH225" s="273"/>
      <c r="BI225" s="273"/>
      <c r="BJ225" s="273"/>
      <c r="BK225" s="273"/>
      <c r="BL225" s="273"/>
      <c r="BM225" s="273"/>
      <c r="BN225" s="273"/>
    </row>
    <row r="226" spans="1:66" s="250" customFormat="1" x14ac:dyDescent="0.25">
      <c r="A226" s="414"/>
      <c r="B226" s="454"/>
      <c r="C226" s="412"/>
      <c r="D226" s="412"/>
      <c r="E226" s="442"/>
      <c r="F226" s="442"/>
      <c r="G226" s="442"/>
      <c r="H226" s="442"/>
      <c r="I226" s="442"/>
      <c r="J226" s="442"/>
      <c r="K226" s="442"/>
      <c r="L226" s="416"/>
      <c r="M226" s="416"/>
      <c r="N226" s="416"/>
      <c r="O226" s="416"/>
      <c r="P226" s="416"/>
      <c r="Q226" s="398"/>
      <c r="R226" s="398"/>
      <c r="S226" s="398"/>
      <c r="T226" s="398"/>
      <c r="U226" s="457"/>
      <c r="V226" s="393"/>
      <c r="W226" s="392"/>
      <c r="X226" s="390"/>
      <c r="Y226" s="390"/>
      <c r="Z226" s="390"/>
      <c r="AA226" s="390"/>
      <c r="AB226" s="390"/>
      <c r="AC226" s="249"/>
      <c r="AD226" s="249"/>
      <c r="AE226" s="249"/>
      <c r="AF226" s="273"/>
      <c r="AG226" s="273"/>
      <c r="AH226" s="273"/>
      <c r="AI226" s="273"/>
      <c r="AJ226" s="273"/>
      <c r="AK226" s="273"/>
      <c r="AL226" s="273"/>
      <c r="AM226" s="273"/>
      <c r="AN226" s="273"/>
      <c r="AO226" s="273"/>
      <c r="AP226" s="273"/>
      <c r="AQ226" s="273"/>
      <c r="AR226" s="273"/>
      <c r="AS226" s="273"/>
      <c r="AT226" s="273"/>
      <c r="AU226" s="273"/>
      <c r="AV226" s="273"/>
      <c r="AW226" s="273"/>
      <c r="AX226" s="273"/>
      <c r="AY226" s="273"/>
      <c r="AZ226" s="273"/>
      <c r="BA226" s="273"/>
      <c r="BB226" s="273"/>
      <c r="BC226" s="273"/>
      <c r="BD226" s="273"/>
      <c r="BE226" s="273"/>
      <c r="BF226" s="273"/>
      <c r="BG226" s="273"/>
      <c r="BH226" s="273"/>
      <c r="BI226" s="273"/>
      <c r="BJ226" s="273"/>
      <c r="BK226" s="273"/>
      <c r="BL226" s="273"/>
      <c r="BM226" s="273"/>
      <c r="BN226" s="273"/>
    </row>
    <row r="227" spans="1:66" s="250" customFormat="1" x14ac:dyDescent="0.25">
      <c r="A227" s="414"/>
      <c r="B227" s="454"/>
      <c r="C227" s="412"/>
      <c r="D227" s="412"/>
      <c r="E227" s="442"/>
      <c r="F227" s="442"/>
      <c r="G227" s="442"/>
      <c r="H227" s="442"/>
      <c r="I227" s="442"/>
      <c r="J227" s="442"/>
      <c r="K227" s="442"/>
      <c r="L227" s="416"/>
      <c r="M227" s="416"/>
      <c r="N227" s="416"/>
      <c r="O227" s="416"/>
      <c r="P227" s="416"/>
      <c r="Q227" s="398"/>
      <c r="R227" s="398"/>
      <c r="S227" s="398"/>
      <c r="T227" s="398"/>
      <c r="U227" s="457"/>
      <c r="V227" s="393"/>
      <c r="W227" s="392"/>
      <c r="X227" s="390"/>
      <c r="Y227" s="390"/>
      <c r="Z227" s="390"/>
      <c r="AA227" s="390"/>
      <c r="AB227" s="390"/>
      <c r="AC227" s="249"/>
      <c r="AD227" s="249"/>
      <c r="AE227" s="249"/>
      <c r="AF227" s="273"/>
      <c r="AG227" s="273"/>
      <c r="AH227" s="273"/>
      <c r="AI227" s="273"/>
      <c r="AJ227" s="273"/>
      <c r="AK227" s="273"/>
      <c r="AL227" s="273"/>
      <c r="AM227" s="273"/>
      <c r="AN227" s="273"/>
      <c r="AO227" s="273"/>
      <c r="AP227" s="273"/>
      <c r="AQ227" s="273"/>
      <c r="AR227" s="273"/>
      <c r="AS227" s="273"/>
      <c r="AT227" s="273"/>
      <c r="AU227" s="273"/>
      <c r="AV227" s="273"/>
      <c r="AW227" s="273"/>
      <c r="AX227" s="273"/>
      <c r="AY227" s="273"/>
      <c r="AZ227" s="273"/>
      <c r="BA227" s="273"/>
      <c r="BB227" s="273"/>
      <c r="BC227" s="273"/>
      <c r="BD227" s="273"/>
      <c r="BE227" s="273"/>
      <c r="BF227" s="273"/>
      <c r="BG227" s="273"/>
      <c r="BH227" s="273"/>
      <c r="BI227" s="273"/>
      <c r="BJ227" s="273"/>
      <c r="BK227" s="273"/>
      <c r="BL227" s="273"/>
      <c r="BM227" s="273"/>
      <c r="BN227" s="273"/>
    </row>
    <row r="228" spans="1:66" s="250" customFormat="1" x14ac:dyDescent="0.25">
      <c r="A228" s="414"/>
      <c r="B228" s="454"/>
      <c r="C228" s="412"/>
      <c r="D228" s="412"/>
      <c r="E228" s="442"/>
      <c r="F228" s="442"/>
      <c r="G228" s="442"/>
      <c r="H228" s="442"/>
      <c r="I228" s="442"/>
      <c r="J228" s="442"/>
      <c r="K228" s="442"/>
      <c r="L228" s="416"/>
      <c r="M228" s="416"/>
      <c r="N228" s="416"/>
      <c r="O228" s="416"/>
      <c r="P228" s="416"/>
      <c r="Q228" s="398"/>
      <c r="R228" s="398"/>
      <c r="S228" s="398"/>
      <c r="T228" s="398"/>
      <c r="U228" s="457"/>
      <c r="V228" s="393"/>
      <c r="W228" s="392"/>
      <c r="X228" s="390"/>
      <c r="Y228" s="390"/>
      <c r="Z228" s="390"/>
      <c r="AA228" s="390"/>
      <c r="AB228" s="390"/>
      <c r="AC228" s="249"/>
      <c r="AD228" s="249"/>
      <c r="AE228" s="249"/>
      <c r="AF228" s="273"/>
      <c r="AG228" s="273"/>
      <c r="AH228" s="273"/>
      <c r="AI228" s="273"/>
      <c r="AJ228" s="273"/>
      <c r="AK228" s="273"/>
      <c r="AL228" s="273"/>
      <c r="AM228" s="273"/>
      <c r="AN228" s="273"/>
      <c r="AO228" s="273"/>
      <c r="AP228" s="273"/>
      <c r="AQ228" s="273"/>
      <c r="AR228" s="273"/>
      <c r="AS228" s="273"/>
      <c r="AT228" s="273"/>
      <c r="AU228" s="273"/>
      <c r="AV228" s="273"/>
      <c r="AW228" s="273"/>
      <c r="AX228" s="273"/>
      <c r="AY228" s="273"/>
      <c r="AZ228" s="273"/>
      <c r="BA228" s="273"/>
      <c r="BB228" s="273"/>
      <c r="BC228" s="273"/>
      <c r="BD228" s="273"/>
      <c r="BE228" s="273"/>
      <c r="BF228" s="273"/>
      <c r="BG228" s="273"/>
      <c r="BH228" s="273"/>
      <c r="BI228" s="273"/>
      <c r="BJ228" s="273"/>
      <c r="BK228" s="273"/>
      <c r="BL228" s="273"/>
      <c r="BM228" s="273"/>
      <c r="BN228" s="273"/>
    </row>
    <row r="229" spans="1:66" s="250" customFormat="1" x14ac:dyDescent="0.25">
      <c r="A229" s="414"/>
      <c r="B229" s="454"/>
      <c r="C229" s="412"/>
      <c r="D229" s="412"/>
      <c r="E229" s="442"/>
      <c r="F229" s="442"/>
      <c r="G229" s="442"/>
      <c r="H229" s="442"/>
      <c r="I229" s="442"/>
      <c r="J229" s="442"/>
      <c r="K229" s="442"/>
      <c r="L229" s="416"/>
      <c r="M229" s="416"/>
      <c r="N229" s="416"/>
      <c r="O229" s="416"/>
      <c r="P229" s="416"/>
      <c r="Q229" s="398"/>
      <c r="R229" s="398"/>
      <c r="S229" s="398"/>
      <c r="T229" s="398"/>
      <c r="U229" s="457"/>
      <c r="V229" s="393"/>
      <c r="W229" s="392"/>
      <c r="X229" s="390"/>
      <c r="Y229" s="390"/>
      <c r="Z229" s="390"/>
      <c r="AA229" s="390"/>
      <c r="AB229" s="390"/>
      <c r="AC229" s="249"/>
      <c r="AD229" s="249"/>
      <c r="AE229" s="249"/>
      <c r="AF229" s="273"/>
      <c r="AG229" s="273"/>
      <c r="AH229" s="273"/>
      <c r="AI229" s="273"/>
      <c r="AJ229" s="273"/>
      <c r="AK229" s="273"/>
      <c r="AL229" s="273"/>
      <c r="AM229" s="273"/>
      <c r="AN229" s="273"/>
      <c r="AO229" s="273"/>
      <c r="AP229" s="273"/>
      <c r="AQ229" s="273"/>
      <c r="AR229" s="273"/>
      <c r="AS229" s="273"/>
      <c r="AT229" s="273"/>
      <c r="AU229" s="273"/>
      <c r="AV229" s="273"/>
      <c r="AW229" s="273"/>
      <c r="AX229" s="273"/>
      <c r="AY229" s="273"/>
      <c r="AZ229" s="273"/>
      <c r="BA229" s="273"/>
      <c r="BB229" s="273"/>
      <c r="BC229" s="273"/>
      <c r="BD229" s="273"/>
      <c r="BE229" s="273"/>
      <c r="BF229" s="273"/>
      <c r="BG229" s="273"/>
      <c r="BH229" s="273"/>
      <c r="BI229" s="273"/>
      <c r="BJ229" s="273"/>
      <c r="BK229" s="273"/>
      <c r="BL229" s="273"/>
      <c r="BM229" s="273"/>
      <c r="BN229" s="273"/>
    </row>
    <row r="230" spans="1:66" s="250" customFormat="1" x14ac:dyDescent="0.25">
      <c r="A230" s="414"/>
      <c r="B230" s="454"/>
      <c r="C230" s="412"/>
      <c r="D230" s="412"/>
      <c r="E230" s="442"/>
      <c r="F230" s="442"/>
      <c r="G230" s="442"/>
      <c r="H230" s="442"/>
      <c r="I230" s="442"/>
      <c r="J230" s="442"/>
      <c r="K230" s="442"/>
      <c r="L230" s="416"/>
      <c r="M230" s="416"/>
      <c r="N230" s="416"/>
      <c r="O230" s="416"/>
      <c r="P230" s="416"/>
      <c r="Q230" s="398"/>
      <c r="R230" s="398"/>
      <c r="S230" s="398"/>
      <c r="T230" s="398"/>
      <c r="U230" s="457"/>
      <c r="V230" s="393"/>
      <c r="W230" s="392"/>
      <c r="X230" s="390"/>
      <c r="Y230" s="390"/>
      <c r="Z230" s="390"/>
      <c r="AA230" s="390"/>
      <c r="AB230" s="390"/>
      <c r="AC230" s="249"/>
      <c r="AD230" s="249"/>
      <c r="AE230" s="249"/>
      <c r="AF230" s="273"/>
      <c r="AG230" s="273"/>
      <c r="AH230" s="273"/>
      <c r="AI230" s="273"/>
      <c r="AJ230" s="273"/>
      <c r="AK230" s="273"/>
      <c r="AL230" s="273"/>
      <c r="AM230" s="273"/>
      <c r="AN230" s="273"/>
      <c r="AO230" s="273"/>
      <c r="AP230" s="273"/>
      <c r="AQ230" s="273"/>
      <c r="AR230" s="273"/>
      <c r="AS230" s="273"/>
      <c r="AT230" s="273"/>
      <c r="AU230" s="273"/>
      <c r="AV230" s="273"/>
      <c r="AW230" s="273"/>
      <c r="AX230" s="273"/>
      <c r="AY230" s="273"/>
      <c r="AZ230" s="273"/>
      <c r="BA230" s="273"/>
      <c r="BB230" s="273"/>
      <c r="BC230" s="273"/>
      <c r="BD230" s="273"/>
      <c r="BE230" s="273"/>
      <c r="BF230" s="273"/>
      <c r="BG230" s="273"/>
      <c r="BH230" s="273"/>
      <c r="BI230" s="273"/>
      <c r="BJ230" s="273"/>
      <c r="BK230" s="273"/>
      <c r="BL230" s="273"/>
      <c r="BM230" s="273"/>
      <c r="BN230" s="273"/>
    </row>
    <row r="231" spans="1:66" s="250" customFormat="1" x14ac:dyDescent="0.25">
      <c r="A231" s="414"/>
      <c r="B231" s="454"/>
      <c r="C231" s="412"/>
      <c r="D231" s="412"/>
      <c r="E231" s="442"/>
      <c r="F231" s="442"/>
      <c r="G231" s="442"/>
      <c r="H231" s="442"/>
      <c r="I231" s="442"/>
      <c r="J231" s="442"/>
      <c r="K231" s="442"/>
      <c r="L231" s="416"/>
      <c r="M231" s="416"/>
      <c r="N231" s="416"/>
      <c r="O231" s="416"/>
      <c r="P231" s="416"/>
      <c r="Q231" s="398"/>
      <c r="R231" s="398"/>
      <c r="S231" s="398"/>
      <c r="T231" s="398"/>
      <c r="U231" s="457"/>
      <c r="V231" s="393"/>
      <c r="W231" s="392"/>
      <c r="X231" s="390"/>
      <c r="Y231" s="390"/>
      <c r="Z231" s="390"/>
      <c r="AA231" s="390"/>
      <c r="AB231" s="390"/>
      <c r="AC231" s="249"/>
      <c r="AD231" s="249"/>
      <c r="AE231" s="249"/>
      <c r="AF231" s="273"/>
      <c r="AG231" s="273"/>
      <c r="AH231" s="273"/>
      <c r="AI231" s="273"/>
      <c r="AJ231" s="273"/>
      <c r="AK231" s="273"/>
      <c r="AL231" s="273"/>
      <c r="AM231" s="273"/>
      <c r="AN231" s="273"/>
      <c r="AO231" s="273"/>
      <c r="AP231" s="273"/>
      <c r="AQ231" s="273"/>
      <c r="AR231" s="273"/>
      <c r="AS231" s="273"/>
      <c r="AT231" s="273"/>
      <c r="AU231" s="273"/>
      <c r="AV231" s="273"/>
      <c r="AW231" s="273"/>
      <c r="AX231" s="273"/>
      <c r="AY231" s="273"/>
      <c r="AZ231" s="273"/>
      <c r="BA231" s="273"/>
      <c r="BB231" s="273"/>
      <c r="BC231" s="273"/>
      <c r="BD231" s="273"/>
      <c r="BE231" s="273"/>
      <c r="BF231" s="273"/>
      <c r="BG231" s="273"/>
      <c r="BH231" s="273"/>
      <c r="BI231" s="273"/>
      <c r="BJ231" s="273"/>
      <c r="BK231" s="273"/>
      <c r="BL231" s="273"/>
      <c r="BM231" s="273"/>
      <c r="BN231" s="273"/>
    </row>
    <row r="232" spans="1:66" s="250" customFormat="1" x14ac:dyDescent="0.25">
      <c r="A232" s="414"/>
      <c r="B232" s="454"/>
      <c r="C232" s="412"/>
      <c r="D232" s="412"/>
      <c r="E232" s="442"/>
      <c r="F232" s="442"/>
      <c r="G232" s="442"/>
      <c r="H232" s="442"/>
      <c r="I232" s="442"/>
      <c r="J232" s="442"/>
      <c r="K232" s="442"/>
      <c r="L232" s="416"/>
      <c r="M232" s="416"/>
      <c r="N232" s="416"/>
      <c r="O232" s="416"/>
      <c r="P232" s="416"/>
      <c r="Q232" s="398"/>
      <c r="R232" s="398"/>
      <c r="S232" s="398"/>
      <c r="T232" s="398"/>
      <c r="U232" s="457"/>
      <c r="V232" s="393"/>
      <c r="W232" s="392"/>
      <c r="X232" s="390"/>
      <c r="Y232" s="390"/>
      <c r="Z232" s="390"/>
      <c r="AA232" s="390"/>
      <c r="AB232" s="390"/>
      <c r="AC232" s="249"/>
      <c r="AD232" s="249"/>
      <c r="AE232" s="249"/>
      <c r="AF232" s="273"/>
      <c r="AG232" s="273"/>
      <c r="AH232" s="273"/>
      <c r="AI232" s="273"/>
      <c r="AJ232" s="273"/>
      <c r="AK232" s="273"/>
      <c r="AL232" s="273"/>
      <c r="AM232" s="273"/>
      <c r="AN232" s="273"/>
      <c r="AO232" s="273"/>
      <c r="AP232" s="273"/>
      <c r="AQ232" s="273"/>
      <c r="AR232" s="273"/>
      <c r="AS232" s="273"/>
      <c r="AT232" s="273"/>
      <c r="AU232" s="273"/>
      <c r="AV232" s="273"/>
      <c r="AW232" s="273"/>
      <c r="AX232" s="273"/>
      <c r="AY232" s="273"/>
      <c r="AZ232" s="273"/>
      <c r="BA232" s="273"/>
      <c r="BB232" s="273"/>
      <c r="BC232" s="273"/>
      <c r="BD232" s="273"/>
      <c r="BE232" s="273"/>
      <c r="BF232" s="273"/>
      <c r="BG232" s="273"/>
      <c r="BH232" s="273"/>
      <c r="BI232" s="273"/>
      <c r="BJ232" s="273"/>
      <c r="BK232" s="273"/>
      <c r="BL232" s="273"/>
      <c r="BM232" s="273"/>
      <c r="BN232" s="273"/>
    </row>
    <row r="233" spans="1:66" s="250" customFormat="1" x14ac:dyDescent="0.25">
      <c r="A233" s="414"/>
      <c r="B233" s="454"/>
      <c r="C233" s="412"/>
      <c r="D233" s="412"/>
      <c r="E233" s="442"/>
      <c r="F233" s="442"/>
      <c r="G233" s="442"/>
      <c r="H233" s="442"/>
      <c r="I233" s="442"/>
      <c r="J233" s="442"/>
      <c r="K233" s="442"/>
      <c r="L233" s="416"/>
      <c r="M233" s="416"/>
      <c r="N233" s="416"/>
      <c r="O233" s="416"/>
      <c r="P233" s="416"/>
      <c r="Q233" s="398"/>
      <c r="R233" s="398"/>
      <c r="S233" s="398"/>
      <c r="T233" s="398"/>
      <c r="U233" s="457"/>
      <c r="V233" s="393"/>
      <c r="W233" s="392"/>
      <c r="X233" s="390"/>
      <c r="Y233" s="390"/>
      <c r="Z233" s="390"/>
      <c r="AA233" s="390"/>
      <c r="AB233" s="390"/>
      <c r="AC233" s="249"/>
      <c r="AD233" s="249"/>
      <c r="AE233" s="249"/>
      <c r="AF233" s="273"/>
      <c r="AG233" s="273"/>
      <c r="AH233" s="273"/>
      <c r="AI233" s="273"/>
      <c r="AJ233" s="273"/>
      <c r="AK233" s="273"/>
      <c r="AL233" s="273"/>
      <c r="AM233" s="273"/>
      <c r="AN233" s="273"/>
      <c r="AO233" s="273"/>
      <c r="AP233" s="273"/>
      <c r="AQ233" s="273"/>
      <c r="AR233" s="273"/>
      <c r="AS233" s="273"/>
      <c r="AT233" s="273"/>
      <c r="AU233" s="273"/>
      <c r="AV233" s="273"/>
      <c r="AW233" s="273"/>
      <c r="AX233" s="273"/>
      <c r="AY233" s="273"/>
      <c r="AZ233" s="273"/>
      <c r="BA233" s="273"/>
      <c r="BB233" s="273"/>
      <c r="BC233" s="273"/>
      <c r="BD233" s="273"/>
      <c r="BE233" s="273"/>
      <c r="BF233" s="273"/>
      <c r="BG233" s="273"/>
      <c r="BH233" s="273"/>
      <c r="BI233" s="273"/>
      <c r="BJ233" s="273"/>
      <c r="BK233" s="273"/>
      <c r="BL233" s="273"/>
      <c r="BM233" s="273"/>
      <c r="BN233" s="273"/>
    </row>
    <row r="234" spans="1:66" s="250" customFormat="1" x14ac:dyDescent="0.25">
      <c r="A234" s="414"/>
      <c r="B234" s="454"/>
      <c r="C234" s="412"/>
      <c r="D234" s="412"/>
      <c r="E234" s="442"/>
      <c r="F234" s="442"/>
      <c r="G234" s="442"/>
      <c r="H234" s="442"/>
      <c r="I234" s="442"/>
      <c r="J234" s="442"/>
      <c r="K234" s="442"/>
      <c r="L234" s="416"/>
      <c r="M234" s="416"/>
      <c r="N234" s="416"/>
      <c r="O234" s="416"/>
      <c r="P234" s="416"/>
      <c r="Q234" s="398"/>
      <c r="R234" s="398"/>
      <c r="S234" s="398"/>
      <c r="T234" s="398"/>
      <c r="U234" s="457"/>
      <c r="V234" s="393"/>
      <c r="W234" s="392"/>
      <c r="X234" s="390"/>
      <c r="Y234" s="390"/>
      <c r="Z234" s="390"/>
      <c r="AA234" s="390"/>
      <c r="AB234" s="390"/>
      <c r="AC234" s="249"/>
      <c r="AD234" s="249"/>
      <c r="AE234" s="249"/>
      <c r="AF234" s="273"/>
      <c r="AG234" s="273"/>
      <c r="AH234" s="273"/>
      <c r="AI234" s="273"/>
      <c r="AJ234" s="273"/>
      <c r="AK234" s="273"/>
      <c r="AL234" s="273"/>
      <c r="AM234" s="273"/>
      <c r="AN234" s="273"/>
      <c r="AO234" s="273"/>
      <c r="AP234" s="273"/>
      <c r="AQ234" s="273"/>
      <c r="AR234" s="273"/>
      <c r="AS234" s="273"/>
      <c r="AT234" s="273"/>
      <c r="AU234" s="273"/>
      <c r="AV234" s="273"/>
      <c r="AW234" s="273"/>
      <c r="AX234" s="273"/>
      <c r="AY234" s="273"/>
      <c r="AZ234" s="273"/>
      <c r="BA234" s="273"/>
      <c r="BB234" s="273"/>
      <c r="BC234" s="273"/>
      <c r="BD234" s="273"/>
      <c r="BE234" s="273"/>
      <c r="BF234" s="273"/>
      <c r="BG234" s="273"/>
      <c r="BH234" s="273"/>
      <c r="BI234" s="273"/>
      <c r="BJ234" s="273"/>
      <c r="BK234" s="273"/>
      <c r="BL234" s="273"/>
      <c r="BM234" s="273"/>
      <c r="BN234" s="273"/>
    </row>
    <row r="235" spans="1:66" s="250" customFormat="1" x14ac:dyDescent="0.25">
      <c r="A235" s="414"/>
      <c r="B235" s="454"/>
      <c r="C235" s="412"/>
      <c r="D235" s="412"/>
      <c r="E235" s="442"/>
      <c r="F235" s="442"/>
      <c r="G235" s="442"/>
      <c r="H235" s="442"/>
      <c r="I235" s="442"/>
      <c r="J235" s="442"/>
      <c r="K235" s="442"/>
      <c r="L235" s="416"/>
      <c r="M235" s="416"/>
      <c r="N235" s="416"/>
      <c r="O235" s="416"/>
      <c r="P235" s="416"/>
      <c r="Q235" s="398"/>
      <c r="R235" s="398"/>
      <c r="S235" s="398"/>
      <c r="T235" s="398"/>
      <c r="U235" s="457"/>
      <c r="V235" s="393"/>
      <c r="W235" s="392"/>
      <c r="X235" s="390"/>
      <c r="Y235" s="390"/>
      <c r="Z235" s="390"/>
      <c r="AA235" s="390"/>
      <c r="AB235" s="390"/>
      <c r="AC235" s="249"/>
      <c r="AD235" s="249"/>
      <c r="AE235" s="249"/>
      <c r="AF235" s="273"/>
      <c r="AG235" s="273"/>
      <c r="AH235" s="273"/>
      <c r="AI235" s="273"/>
      <c r="AJ235" s="273"/>
      <c r="AK235" s="273"/>
      <c r="AL235" s="273"/>
      <c r="AM235" s="273"/>
      <c r="AN235" s="273"/>
      <c r="AO235" s="273"/>
      <c r="AP235" s="273"/>
      <c r="AQ235" s="273"/>
      <c r="AR235" s="273"/>
      <c r="AS235" s="273"/>
      <c r="AT235" s="273"/>
      <c r="AU235" s="273"/>
      <c r="AV235" s="273"/>
      <c r="AW235" s="273"/>
      <c r="AX235" s="273"/>
      <c r="AY235" s="273"/>
      <c r="AZ235" s="273"/>
      <c r="BA235" s="273"/>
      <c r="BB235" s="273"/>
      <c r="BC235" s="273"/>
      <c r="BD235" s="273"/>
      <c r="BE235" s="273"/>
      <c r="BF235" s="273"/>
      <c r="BG235" s="273"/>
      <c r="BH235" s="273"/>
      <c r="BI235" s="273"/>
      <c r="BJ235" s="273"/>
      <c r="BK235" s="273"/>
      <c r="BL235" s="273"/>
      <c r="BM235" s="273"/>
      <c r="BN235" s="273"/>
    </row>
    <row r="236" spans="1:66" s="250" customFormat="1" x14ac:dyDescent="0.25">
      <c r="A236" s="414"/>
      <c r="B236" s="454"/>
      <c r="C236" s="412"/>
      <c r="D236" s="412"/>
      <c r="E236" s="442"/>
      <c r="F236" s="442"/>
      <c r="G236" s="442"/>
      <c r="H236" s="442"/>
      <c r="I236" s="442"/>
      <c r="J236" s="442"/>
      <c r="K236" s="442"/>
      <c r="L236" s="416"/>
      <c r="M236" s="416"/>
      <c r="N236" s="416"/>
      <c r="O236" s="416"/>
      <c r="P236" s="416"/>
      <c r="Q236" s="398"/>
      <c r="R236" s="398"/>
      <c r="S236" s="398"/>
      <c r="T236" s="398"/>
      <c r="U236" s="457"/>
      <c r="V236" s="393"/>
      <c r="W236" s="392"/>
      <c r="X236" s="390"/>
      <c r="Y236" s="390"/>
      <c r="Z236" s="390"/>
      <c r="AA236" s="390"/>
      <c r="AB236" s="390"/>
      <c r="AC236" s="249"/>
      <c r="AD236" s="249"/>
      <c r="AE236" s="249"/>
      <c r="AF236" s="273"/>
      <c r="AG236" s="273"/>
      <c r="AH236" s="273"/>
      <c r="AI236" s="273"/>
      <c r="AJ236" s="273"/>
      <c r="AK236" s="273"/>
      <c r="AL236" s="273"/>
      <c r="AM236" s="273"/>
      <c r="AN236" s="273"/>
      <c r="AO236" s="273"/>
      <c r="AP236" s="273"/>
      <c r="AQ236" s="273"/>
      <c r="AR236" s="273"/>
      <c r="AS236" s="273"/>
      <c r="AT236" s="273"/>
      <c r="AU236" s="273"/>
      <c r="AV236" s="273"/>
      <c r="AW236" s="273"/>
      <c r="AX236" s="273"/>
      <c r="AY236" s="273"/>
      <c r="AZ236" s="273"/>
      <c r="BA236" s="273"/>
      <c r="BB236" s="273"/>
      <c r="BC236" s="273"/>
      <c r="BD236" s="273"/>
      <c r="BE236" s="273"/>
      <c r="BF236" s="273"/>
      <c r="BG236" s="273"/>
      <c r="BH236" s="273"/>
      <c r="BI236" s="273"/>
      <c r="BJ236" s="273"/>
      <c r="BK236" s="273"/>
      <c r="BL236" s="273"/>
      <c r="BM236" s="273"/>
      <c r="BN236" s="273"/>
    </row>
    <row r="237" spans="1:66" s="250" customFormat="1" x14ac:dyDescent="0.25">
      <c r="A237" s="414"/>
      <c r="B237" s="454"/>
      <c r="C237" s="412"/>
      <c r="D237" s="412"/>
      <c r="E237" s="442"/>
      <c r="F237" s="442"/>
      <c r="G237" s="442"/>
      <c r="H237" s="442"/>
      <c r="I237" s="442"/>
      <c r="J237" s="442"/>
      <c r="K237" s="442"/>
      <c r="L237" s="416"/>
      <c r="M237" s="416"/>
      <c r="N237" s="416"/>
      <c r="O237" s="416"/>
      <c r="P237" s="416"/>
      <c r="Q237" s="398"/>
      <c r="R237" s="398"/>
      <c r="S237" s="398"/>
      <c r="T237" s="398"/>
      <c r="U237" s="457"/>
      <c r="V237" s="393"/>
      <c r="W237" s="392"/>
      <c r="X237" s="390"/>
      <c r="Y237" s="390"/>
      <c r="Z237" s="390"/>
      <c r="AA237" s="390"/>
      <c r="AB237" s="390"/>
      <c r="AC237" s="249"/>
      <c r="AD237" s="249"/>
      <c r="AE237" s="249"/>
      <c r="AF237" s="273"/>
      <c r="AG237" s="273"/>
      <c r="AH237" s="273"/>
      <c r="AI237" s="273"/>
      <c r="AJ237" s="273"/>
      <c r="AK237" s="273"/>
      <c r="AL237" s="273"/>
      <c r="AM237" s="273"/>
      <c r="AN237" s="273"/>
      <c r="AO237" s="273"/>
      <c r="AP237" s="273"/>
      <c r="AQ237" s="273"/>
      <c r="AR237" s="273"/>
      <c r="AS237" s="273"/>
      <c r="AT237" s="273"/>
      <c r="AU237" s="273"/>
      <c r="AV237" s="273"/>
      <c r="AW237" s="273"/>
      <c r="AX237" s="273"/>
      <c r="AY237" s="273"/>
      <c r="AZ237" s="273"/>
      <c r="BA237" s="273"/>
      <c r="BB237" s="273"/>
      <c r="BC237" s="273"/>
      <c r="BD237" s="273"/>
      <c r="BE237" s="273"/>
      <c r="BF237" s="273"/>
      <c r="BG237" s="273"/>
      <c r="BH237" s="273"/>
      <c r="BI237" s="273"/>
      <c r="BJ237" s="273"/>
      <c r="BK237" s="273"/>
      <c r="BL237" s="273"/>
      <c r="BM237" s="273"/>
      <c r="BN237" s="273"/>
    </row>
    <row r="238" spans="1:66" s="250" customFormat="1" x14ac:dyDescent="0.25">
      <c r="A238" s="414"/>
      <c r="B238" s="454"/>
      <c r="C238" s="412"/>
      <c r="D238" s="412"/>
      <c r="E238" s="442"/>
      <c r="F238" s="442"/>
      <c r="G238" s="442"/>
      <c r="H238" s="442"/>
      <c r="I238" s="442"/>
      <c r="J238" s="442"/>
      <c r="K238" s="442"/>
      <c r="L238" s="416"/>
      <c r="M238" s="416"/>
      <c r="N238" s="416"/>
      <c r="O238" s="416"/>
      <c r="P238" s="416"/>
      <c r="Q238" s="398"/>
      <c r="R238" s="398"/>
      <c r="S238" s="398"/>
      <c r="T238" s="398"/>
      <c r="U238" s="457"/>
      <c r="V238" s="393"/>
      <c r="W238" s="392"/>
      <c r="X238" s="390"/>
      <c r="Y238" s="390"/>
      <c r="Z238" s="390"/>
      <c r="AA238" s="390"/>
      <c r="AB238" s="390"/>
      <c r="AC238" s="249"/>
      <c r="AD238" s="249"/>
      <c r="AE238" s="249"/>
      <c r="AF238" s="273"/>
      <c r="AG238" s="273"/>
      <c r="AH238" s="273"/>
      <c r="AI238" s="273"/>
      <c r="AJ238" s="273"/>
      <c r="AK238" s="273"/>
      <c r="AL238" s="273"/>
      <c r="AM238" s="273"/>
      <c r="AN238" s="273"/>
      <c r="AO238" s="273"/>
      <c r="AP238" s="273"/>
      <c r="AQ238" s="273"/>
      <c r="AR238" s="273"/>
      <c r="AS238" s="273"/>
      <c r="AT238" s="273"/>
      <c r="AU238" s="273"/>
      <c r="AV238" s="273"/>
      <c r="AW238" s="273"/>
      <c r="AX238" s="273"/>
      <c r="AY238" s="273"/>
      <c r="AZ238" s="273"/>
      <c r="BA238" s="273"/>
      <c r="BB238" s="273"/>
      <c r="BC238" s="273"/>
      <c r="BD238" s="273"/>
      <c r="BE238" s="273"/>
      <c r="BF238" s="273"/>
      <c r="BG238" s="273"/>
      <c r="BH238" s="273"/>
      <c r="BI238" s="273"/>
      <c r="BJ238" s="273"/>
      <c r="BK238" s="273"/>
      <c r="BL238" s="273"/>
      <c r="BM238" s="273"/>
      <c r="BN238" s="273"/>
    </row>
    <row r="239" spans="1:66" s="250" customFormat="1" x14ac:dyDescent="0.25">
      <c r="A239" s="414"/>
      <c r="B239" s="454"/>
      <c r="C239" s="412"/>
      <c r="D239" s="412"/>
      <c r="E239" s="442"/>
      <c r="F239" s="442"/>
      <c r="G239" s="442"/>
      <c r="H239" s="442"/>
      <c r="I239" s="442"/>
      <c r="J239" s="442"/>
      <c r="K239" s="442"/>
      <c r="L239" s="416"/>
      <c r="M239" s="416"/>
      <c r="N239" s="416"/>
      <c r="O239" s="416"/>
      <c r="P239" s="416"/>
      <c r="Q239" s="398"/>
      <c r="R239" s="398"/>
      <c r="S239" s="398"/>
      <c r="T239" s="398"/>
      <c r="U239" s="457"/>
      <c r="V239" s="393"/>
      <c r="W239" s="392"/>
      <c r="X239" s="390"/>
      <c r="Y239" s="390"/>
      <c r="Z239" s="390"/>
      <c r="AA239" s="390"/>
      <c r="AB239" s="390"/>
      <c r="AC239" s="249"/>
      <c r="AD239" s="249"/>
      <c r="AE239" s="249"/>
      <c r="AF239" s="273"/>
      <c r="AG239" s="273"/>
      <c r="AH239" s="273"/>
      <c r="AI239" s="273"/>
      <c r="AJ239" s="273"/>
      <c r="AK239" s="273"/>
      <c r="AL239" s="273"/>
      <c r="AM239" s="273"/>
      <c r="AN239" s="273"/>
      <c r="AO239" s="273"/>
      <c r="AP239" s="273"/>
      <c r="AQ239" s="273"/>
      <c r="AR239" s="273"/>
      <c r="AS239" s="273"/>
      <c r="AT239" s="273"/>
      <c r="AU239" s="273"/>
      <c r="AV239" s="273"/>
      <c r="AW239" s="273"/>
      <c r="AX239" s="273"/>
      <c r="AY239" s="273"/>
      <c r="AZ239" s="273"/>
      <c r="BA239" s="273"/>
      <c r="BB239" s="273"/>
      <c r="BC239" s="273"/>
      <c r="BD239" s="273"/>
      <c r="BE239" s="273"/>
      <c r="BF239" s="273"/>
      <c r="BG239" s="273"/>
      <c r="BH239" s="273"/>
      <c r="BI239" s="273"/>
      <c r="BJ239" s="273"/>
      <c r="BK239" s="273"/>
      <c r="BL239" s="273"/>
      <c r="BM239" s="273"/>
      <c r="BN239" s="273"/>
    </row>
    <row r="240" spans="1:66" s="250" customFormat="1" x14ac:dyDescent="0.25">
      <c r="A240" s="414"/>
      <c r="B240" s="454"/>
      <c r="C240" s="412"/>
      <c r="D240" s="412"/>
      <c r="E240" s="442"/>
      <c r="F240" s="442"/>
      <c r="G240" s="442"/>
      <c r="H240" s="442"/>
      <c r="I240" s="442"/>
      <c r="J240" s="442"/>
      <c r="K240" s="442"/>
      <c r="L240" s="416"/>
      <c r="M240" s="416"/>
      <c r="N240" s="416"/>
      <c r="O240" s="416"/>
      <c r="P240" s="416"/>
      <c r="Q240" s="398"/>
      <c r="R240" s="398"/>
      <c r="S240" s="398"/>
      <c r="T240" s="398"/>
      <c r="U240" s="457"/>
      <c r="V240" s="393"/>
      <c r="W240" s="392"/>
      <c r="X240" s="390"/>
      <c r="Y240" s="390"/>
      <c r="Z240" s="390"/>
      <c r="AA240" s="390"/>
      <c r="AB240" s="390"/>
      <c r="AC240" s="249"/>
      <c r="AD240" s="249"/>
      <c r="AE240" s="249"/>
      <c r="AF240" s="273"/>
      <c r="AG240" s="273"/>
      <c r="AH240" s="273"/>
      <c r="AI240" s="273"/>
      <c r="AJ240" s="273"/>
      <c r="AK240" s="273"/>
      <c r="AL240" s="273"/>
      <c r="AM240" s="273"/>
      <c r="AN240" s="273"/>
      <c r="AO240" s="273"/>
      <c r="AP240" s="273"/>
      <c r="AQ240" s="273"/>
      <c r="AR240" s="273"/>
      <c r="AS240" s="273"/>
      <c r="AT240" s="273"/>
      <c r="AU240" s="273"/>
      <c r="AV240" s="273"/>
      <c r="AW240" s="273"/>
      <c r="AX240" s="273"/>
      <c r="AY240" s="273"/>
      <c r="AZ240" s="273"/>
      <c r="BA240" s="273"/>
      <c r="BB240" s="273"/>
      <c r="BC240" s="273"/>
      <c r="BD240" s="273"/>
      <c r="BE240" s="273"/>
      <c r="BF240" s="273"/>
      <c r="BG240" s="273"/>
      <c r="BH240" s="273"/>
      <c r="BI240" s="273"/>
      <c r="BJ240" s="273"/>
      <c r="BK240" s="273"/>
      <c r="BL240" s="273"/>
      <c r="BM240" s="273"/>
      <c r="BN240" s="273"/>
    </row>
    <row r="241" spans="1:66" s="250" customFormat="1" x14ac:dyDescent="0.25">
      <c r="A241" s="414"/>
      <c r="B241" s="454"/>
      <c r="C241" s="412"/>
      <c r="D241" s="412"/>
      <c r="E241" s="442"/>
      <c r="F241" s="442"/>
      <c r="G241" s="442"/>
      <c r="H241" s="442"/>
      <c r="I241" s="442"/>
      <c r="J241" s="442"/>
      <c r="K241" s="442"/>
      <c r="L241" s="416"/>
      <c r="M241" s="416"/>
      <c r="N241" s="416"/>
      <c r="O241" s="416"/>
      <c r="P241" s="416"/>
      <c r="Q241" s="398"/>
      <c r="R241" s="398"/>
      <c r="S241" s="398"/>
      <c r="T241" s="398"/>
      <c r="U241" s="457"/>
      <c r="V241" s="393"/>
      <c r="W241" s="392"/>
      <c r="X241" s="390"/>
      <c r="Y241" s="390"/>
      <c r="Z241" s="390"/>
      <c r="AA241" s="390"/>
      <c r="AB241" s="390"/>
      <c r="AC241" s="249"/>
      <c r="AD241" s="249"/>
      <c r="AE241" s="249"/>
      <c r="AF241" s="273"/>
      <c r="AG241" s="273"/>
      <c r="AH241" s="273"/>
      <c r="AI241" s="273"/>
      <c r="AJ241" s="273"/>
      <c r="AK241" s="273"/>
      <c r="AL241" s="273"/>
      <c r="AM241" s="273"/>
      <c r="AN241" s="273"/>
      <c r="AO241" s="273"/>
      <c r="AP241" s="273"/>
      <c r="AQ241" s="273"/>
      <c r="AR241" s="273"/>
      <c r="AS241" s="273"/>
      <c r="AT241" s="273"/>
      <c r="AU241" s="273"/>
      <c r="AV241" s="273"/>
      <c r="AW241" s="273"/>
      <c r="AX241" s="273"/>
      <c r="AY241" s="273"/>
      <c r="AZ241" s="273"/>
      <c r="BA241" s="273"/>
      <c r="BB241" s="273"/>
      <c r="BC241" s="273"/>
      <c r="BD241" s="273"/>
      <c r="BE241" s="273"/>
      <c r="BF241" s="273"/>
      <c r="BG241" s="273"/>
      <c r="BH241" s="273"/>
      <c r="BI241" s="273"/>
      <c r="BJ241" s="273"/>
      <c r="BK241" s="273"/>
      <c r="BL241" s="273"/>
      <c r="BM241" s="273"/>
      <c r="BN241" s="273"/>
    </row>
    <row r="242" spans="1:66" s="250" customFormat="1" x14ac:dyDescent="0.25">
      <c r="A242" s="414"/>
      <c r="B242" s="454"/>
      <c r="C242" s="412"/>
      <c r="D242" s="412"/>
      <c r="E242" s="442"/>
      <c r="F242" s="442"/>
      <c r="G242" s="442"/>
      <c r="H242" s="442"/>
      <c r="I242" s="442"/>
      <c r="J242" s="442"/>
      <c r="K242" s="442"/>
      <c r="L242" s="416"/>
      <c r="M242" s="416"/>
      <c r="N242" s="416"/>
      <c r="O242" s="416"/>
      <c r="P242" s="416"/>
      <c r="Q242" s="398"/>
      <c r="R242" s="398"/>
      <c r="S242" s="398"/>
      <c r="T242" s="398"/>
      <c r="U242" s="457"/>
      <c r="V242" s="393"/>
      <c r="W242" s="392"/>
      <c r="X242" s="390"/>
      <c r="Y242" s="390"/>
      <c r="Z242" s="390"/>
      <c r="AA242" s="390"/>
      <c r="AB242" s="390"/>
      <c r="AC242" s="249"/>
      <c r="AD242" s="249"/>
      <c r="AE242" s="249"/>
      <c r="AF242" s="273"/>
      <c r="AG242" s="273"/>
      <c r="AH242" s="273"/>
      <c r="AI242" s="273"/>
      <c r="AJ242" s="273"/>
      <c r="AK242" s="273"/>
      <c r="AL242" s="273"/>
      <c r="AM242" s="273"/>
      <c r="AN242" s="273"/>
      <c r="AO242" s="273"/>
      <c r="AP242" s="273"/>
      <c r="AQ242" s="273"/>
      <c r="AR242" s="273"/>
      <c r="AS242" s="273"/>
      <c r="AT242" s="273"/>
      <c r="AU242" s="273"/>
      <c r="AV242" s="273"/>
      <c r="AW242" s="273"/>
      <c r="AX242" s="273"/>
      <c r="AY242" s="273"/>
      <c r="AZ242" s="273"/>
      <c r="BA242" s="273"/>
      <c r="BB242" s="273"/>
      <c r="BC242" s="273"/>
      <c r="BD242" s="273"/>
      <c r="BE242" s="273"/>
      <c r="BF242" s="273"/>
      <c r="BG242" s="273"/>
      <c r="BH242" s="273"/>
      <c r="BI242" s="273"/>
      <c r="BJ242" s="273"/>
      <c r="BK242" s="273"/>
      <c r="BL242" s="273"/>
      <c r="BM242" s="273"/>
      <c r="BN242" s="273"/>
    </row>
    <row r="243" spans="1:66" s="250" customFormat="1" x14ac:dyDescent="0.25">
      <c r="A243" s="414"/>
      <c r="B243" s="454"/>
      <c r="C243" s="412"/>
      <c r="D243" s="412"/>
      <c r="E243" s="442"/>
      <c r="F243" s="442"/>
      <c r="G243" s="442"/>
      <c r="H243" s="442"/>
      <c r="I243" s="442"/>
      <c r="J243" s="442"/>
      <c r="K243" s="442"/>
      <c r="L243" s="416"/>
      <c r="M243" s="416"/>
      <c r="N243" s="416"/>
      <c r="O243" s="416"/>
      <c r="P243" s="416"/>
      <c r="Q243" s="398"/>
      <c r="R243" s="398"/>
      <c r="S243" s="398"/>
      <c r="T243" s="398"/>
      <c r="U243" s="457"/>
      <c r="V243" s="393"/>
      <c r="W243" s="392"/>
      <c r="X243" s="390"/>
      <c r="Y243" s="390"/>
      <c r="Z243" s="390"/>
      <c r="AA243" s="390"/>
      <c r="AB243" s="390"/>
      <c r="AC243" s="249"/>
      <c r="AD243" s="249"/>
      <c r="AE243" s="249"/>
      <c r="AF243" s="273"/>
      <c r="AG243" s="273"/>
      <c r="AH243" s="273"/>
      <c r="AI243" s="273"/>
      <c r="AJ243" s="273"/>
      <c r="AK243" s="273"/>
      <c r="AL243" s="273"/>
      <c r="AM243" s="273"/>
      <c r="AN243" s="273"/>
      <c r="AO243" s="273"/>
      <c r="AP243" s="273"/>
      <c r="AQ243" s="273"/>
      <c r="AR243" s="273"/>
      <c r="AS243" s="273"/>
      <c r="AT243" s="273"/>
      <c r="AU243" s="273"/>
      <c r="AV243" s="273"/>
      <c r="AW243" s="273"/>
      <c r="AX243" s="273"/>
      <c r="AY243" s="273"/>
      <c r="AZ243" s="273"/>
      <c r="BA243" s="273"/>
      <c r="BB243" s="273"/>
      <c r="BC243" s="273"/>
      <c r="BD243" s="273"/>
      <c r="BE243" s="273"/>
      <c r="BF243" s="273"/>
      <c r="BG243" s="273"/>
      <c r="BH243" s="273"/>
      <c r="BI243" s="273"/>
      <c r="BJ243" s="273"/>
      <c r="BK243" s="273"/>
      <c r="BL243" s="273"/>
      <c r="BM243" s="273"/>
      <c r="BN243" s="273"/>
    </row>
    <row r="244" spans="1:66" s="250" customFormat="1" x14ac:dyDescent="0.25">
      <c r="A244" s="414"/>
      <c r="B244" s="454"/>
      <c r="C244" s="412"/>
      <c r="D244" s="412"/>
      <c r="E244" s="442"/>
      <c r="F244" s="442"/>
      <c r="G244" s="442"/>
      <c r="H244" s="442"/>
      <c r="I244" s="442"/>
      <c r="J244" s="442"/>
      <c r="K244" s="442"/>
      <c r="L244" s="416"/>
      <c r="M244" s="416"/>
      <c r="N244" s="416"/>
      <c r="O244" s="416"/>
      <c r="P244" s="416"/>
      <c r="Q244" s="398"/>
      <c r="R244" s="398"/>
      <c r="S244" s="398"/>
      <c r="T244" s="398"/>
      <c r="U244" s="457"/>
      <c r="V244" s="393"/>
      <c r="W244" s="392"/>
      <c r="X244" s="390"/>
      <c r="Y244" s="390"/>
      <c r="Z244" s="390"/>
      <c r="AA244" s="390"/>
      <c r="AB244" s="390"/>
      <c r="AC244" s="249"/>
      <c r="AD244" s="249"/>
      <c r="AE244" s="249"/>
      <c r="AF244" s="273"/>
      <c r="AG244" s="273"/>
      <c r="AH244" s="273"/>
      <c r="AI244" s="273"/>
      <c r="AJ244" s="273"/>
      <c r="AK244" s="273"/>
      <c r="AL244" s="273"/>
      <c r="AM244" s="273"/>
      <c r="AN244" s="273"/>
      <c r="AO244" s="273"/>
      <c r="AP244" s="273"/>
      <c r="AQ244" s="273"/>
      <c r="AR244" s="273"/>
      <c r="AS244" s="273"/>
      <c r="AT244" s="273"/>
      <c r="AU244" s="273"/>
      <c r="AV244" s="273"/>
      <c r="AW244" s="273"/>
      <c r="AX244" s="273"/>
      <c r="AY244" s="273"/>
      <c r="AZ244" s="273"/>
      <c r="BA244" s="273"/>
      <c r="BB244" s="273"/>
      <c r="BC244" s="273"/>
      <c r="BD244" s="273"/>
      <c r="BE244" s="273"/>
      <c r="BF244" s="273"/>
      <c r="BG244" s="273"/>
      <c r="BH244" s="273"/>
      <c r="BI244" s="273"/>
      <c r="BJ244" s="273"/>
      <c r="BK244" s="273"/>
      <c r="BL244" s="273"/>
      <c r="BM244" s="273"/>
      <c r="BN244" s="273"/>
    </row>
    <row r="245" spans="1:66" s="250" customFormat="1" x14ac:dyDescent="0.25">
      <c r="A245" s="414"/>
      <c r="B245" s="454"/>
      <c r="C245" s="412"/>
      <c r="D245" s="412"/>
      <c r="E245" s="442"/>
      <c r="F245" s="442"/>
      <c r="G245" s="442"/>
      <c r="H245" s="442"/>
      <c r="I245" s="442"/>
      <c r="J245" s="442"/>
      <c r="K245" s="442"/>
      <c r="L245" s="416"/>
      <c r="M245" s="416"/>
      <c r="N245" s="416"/>
      <c r="O245" s="416"/>
      <c r="P245" s="416"/>
      <c r="Q245" s="398"/>
      <c r="R245" s="398"/>
      <c r="S245" s="398"/>
      <c r="T245" s="398"/>
      <c r="U245" s="457"/>
      <c r="V245" s="393"/>
      <c r="W245" s="392"/>
      <c r="X245" s="390"/>
      <c r="Y245" s="390"/>
      <c r="Z245" s="390"/>
      <c r="AA245" s="390"/>
      <c r="AB245" s="390"/>
      <c r="AC245" s="249"/>
      <c r="AD245" s="249"/>
      <c r="AE245" s="249"/>
      <c r="AF245" s="273"/>
      <c r="AG245" s="273"/>
      <c r="AH245" s="273"/>
      <c r="AI245" s="273"/>
      <c r="AJ245" s="273"/>
      <c r="AK245" s="273"/>
      <c r="AL245" s="273"/>
      <c r="AM245" s="273"/>
      <c r="AN245" s="273"/>
      <c r="AO245" s="273"/>
      <c r="AP245" s="273"/>
      <c r="AQ245" s="273"/>
      <c r="AR245" s="273"/>
      <c r="AS245" s="273"/>
      <c r="AT245" s="273"/>
      <c r="AU245" s="273"/>
      <c r="AV245" s="273"/>
      <c r="AW245" s="273"/>
      <c r="AX245" s="273"/>
      <c r="AY245" s="273"/>
      <c r="AZ245" s="273"/>
      <c r="BA245" s="273"/>
      <c r="BB245" s="273"/>
      <c r="BC245" s="273"/>
      <c r="BD245" s="273"/>
      <c r="BE245" s="273"/>
      <c r="BF245" s="273"/>
      <c r="BG245" s="273"/>
      <c r="BH245" s="273"/>
      <c r="BI245" s="273"/>
      <c r="BJ245" s="273"/>
      <c r="BK245" s="273"/>
      <c r="BL245" s="273"/>
      <c r="BM245" s="273"/>
      <c r="BN245" s="273"/>
    </row>
    <row r="246" spans="1:66" s="250" customFormat="1" x14ac:dyDescent="0.25">
      <c r="A246" s="414"/>
      <c r="B246" s="454"/>
      <c r="C246" s="412"/>
      <c r="D246" s="412"/>
      <c r="E246" s="442"/>
      <c r="F246" s="442"/>
      <c r="G246" s="442"/>
      <c r="H246" s="442"/>
      <c r="I246" s="442"/>
      <c r="J246" s="442"/>
      <c r="K246" s="442"/>
      <c r="L246" s="416"/>
      <c r="M246" s="416"/>
      <c r="N246" s="416"/>
      <c r="O246" s="416"/>
      <c r="P246" s="416"/>
      <c r="Q246" s="398"/>
      <c r="R246" s="398"/>
      <c r="S246" s="398"/>
      <c r="T246" s="398"/>
      <c r="U246" s="457"/>
      <c r="V246" s="393"/>
      <c r="W246" s="392"/>
      <c r="X246" s="390"/>
      <c r="Y246" s="390"/>
      <c r="Z246" s="390"/>
      <c r="AA246" s="390"/>
      <c r="AB246" s="390"/>
      <c r="AC246" s="249"/>
      <c r="AD246" s="249"/>
      <c r="AE246" s="249"/>
      <c r="AF246" s="273"/>
      <c r="AG246" s="273"/>
      <c r="AH246" s="273"/>
      <c r="AI246" s="273"/>
      <c r="AJ246" s="273"/>
      <c r="AK246" s="273"/>
      <c r="AL246" s="273"/>
      <c r="AM246" s="273"/>
      <c r="AN246" s="273"/>
      <c r="AO246" s="273"/>
      <c r="AP246" s="273"/>
      <c r="AQ246" s="273"/>
      <c r="AR246" s="273"/>
      <c r="AS246" s="273"/>
      <c r="AT246" s="273"/>
      <c r="AU246" s="273"/>
      <c r="AV246" s="273"/>
      <c r="AW246" s="273"/>
      <c r="AX246" s="273"/>
      <c r="AY246" s="273"/>
      <c r="AZ246" s="273"/>
      <c r="BA246" s="273"/>
      <c r="BB246" s="273"/>
      <c r="BC246" s="273"/>
      <c r="BD246" s="273"/>
      <c r="BE246" s="273"/>
      <c r="BF246" s="273"/>
      <c r="BG246" s="273"/>
      <c r="BH246" s="273"/>
      <c r="BI246" s="273"/>
      <c r="BJ246" s="273"/>
      <c r="BK246" s="273"/>
      <c r="BL246" s="273"/>
      <c r="BM246" s="273"/>
      <c r="BN246" s="273"/>
    </row>
    <row r="247" spans="1:66" s="250" customFormat="1" x14ac:dyDescent="0.25">
      <c r="A247" s="414"/>
      <c r="B247" s="454"/>
      <c r="C247" s="412"/>
      <c r="D247" s="412"/>
      <c r="E247" s="442"/>
      <c r="F247" s="442"/>
      <c r="G247" s="442"/>
      <c r="H247" s="442"/>
      <c r="I247" s="442"/>
      <c r="J247" s="442"/>
      <c r="K247" s="442"/>
      <c r="L247" s="416"/>
      <c r="M247" s="416"/>
      <c r="N247" s="416"/>
      <c r="O247" s="416"/>
      <c r="P247" s="416"/>
      <c r="Q247" s="398"/>
      <c r="R247" s="398"/>
      <c r="S247" s="398"/>
      <c r="T247" s="398"/>
      <c r="U247" s="457"/>
      <c r="V247" s="393"/>
      <c r="W247" s="392"/>
      <c r="X247" s="390"/>
      <c r="Y247" s="390"/>
      <c r="Z247" s="390"/>
      <c r="AA247" s="390"/>
      <c r="AB247" s="390"/>
      <c r="AC247" s="249"/>
      <c r="AD247" s="249"/>
      <c r="AE247" s="249"/>
      <c r="AF247" s="273"/>
      <c r="AG247" s="273"/>
      <c r="AH247" s="273"/>
      <c r="AI247" s="273"/>
      <c r="AJ247" s="273"/>
      <c r="AK247" s="273"/>
      <c r="AL247" s="273"/>
      <c r="AM247" s="273"/>
      <c r="AN247" s="273"/>
      <c r="AO247" s="273"/>
      <c r="AP247" s="273"/>
      <c r="AQ247" s="273"/>
      <c r="AR247" s="273"/>
      <c r="AS247" s="273"/>
      <c r="AT247" s="273"/>
      <c r="AU247" s="273"/>
      <c r="AV247" s="273"/>
      <c r="AW247" s="273"/>
      <c r="AX247" s="273"/>
      <c r="AY247" s="273"/>
      <c r="AZ247" s="273"/>
      <c r="BA247" s="273"/>
      <c r="BB247" s="273"/>
      <c r="BC247" s="273"/>
      <c r="BD247" s="273"/>
      <c r="BE247" s="273"/>
      <c r="BF247" s="273"/>
      <c r="BG247" s="273"/>
      <c r="BH247" s="273"/>
      <c r="BI247" s="273"/>
      <c r="BJ247" s="273"/>
      <c r="BK247" s="273"/>
      <c r="BL247" s="273"/>
      <c r="BM247" s="273"/>
      <c r="BN247" s="273"/>
    </row>
    <row r="248" spans="1:66" s="250" customFormat="1" x14ac:dyDescent="0.25">
      <c r="A248" s="414"/>
      <c r="B248" s="454"/>
      <c r="C248" s="412"/>
      <c r="D248" s="412"/>
      <c r="E248" s="442"/>
      <c r="F248" s="442"/>
      <c r="G248" s="442"/>
      <c r="H248" s="442"/>
      <c r="I248" s="442"/>
      <c r="J248" s="442"/>
      <c r="K248" s="442"/>
      <c r="L248" s="416"/>
      <c r="M248" s="416"/>
      <c r="N248" s="416"/>
      <c r="O248" s="416"/>
      <c r="P248" s="416"/>
      <c r="Q248" s="398"/>
      <c r="R248" s="398"/>
      <c r="S248" s="398"/>
      <c r="T248" s="398"/>
      <c r="U248" s="457"/>
      <c r="V248" s="393"/>
      <c r="W248" s="392"/>
      <c r="X248" s="390"/>
      <c r="Y248" s="390"/>
      <c r="Z248" s="390"/>
      <c r="AA248" s="390"/>
      <c r="AB248" s="390"/>
      <c r="AC248" s="249"/>
      <c r="AD248" s="249"/>
      <c r="AE248" s="249"/>
      <c r="AF248" s="273"/>
      <c r="AG248" s="273"/>
      <c r="AH248" s="273"/>
      <c r="AI248" s="273"/>
      <c r="AJ248" s="273"/>
      <c r="AK248" s="273"/>
      <c r="AL248" s="273"/>
      <c r="AM248" s="273"/>
      <c r="AN248" s="273"/>
      <c r="AO248" s="273"/>
      <c r="AP248" s="273"/>
      <c r="AQ248" s="273"/>
      <c r="AR248" s="273"/>
      <c r="AS248" s="273"/>
      <c r="AT248" s="273"/>
      <c r="AU248" s="273"/>
      <c r="AV248" s="273"/>
      <c r="AW248" s="273"/>
      <c r="AX248" s="273"/>
      <c r="AY248" s="273"/>
      <c r="AZ248" s="273"/>
      <c r="BA248" s="273"/>
      <c r="BB248" s="273"/>
      <c r="BC248" s="273"/>
      <c r="BD248" s="273"/>
      <c r="BE248" s="273"/>
      <c r="BF248" s="273"/>
      <c r="BG248" s="273"/>
      <c r="BH248" s="273"/>
      <c r="BI248" s="273"/>
      <c r="BJ248" s="273"/>
      <c r="BK248" s="273"/>
      <c r="BL248" s="273"/>
      <c r="BM248" s="273"/>
      <c r="BN248" s="273"/>
    </row>
    <row r="249" spans="1:66" s="250" customFormat="1" x14ac:dyDescent="0.25">
      <c r="A249" s="414"/>
      <c r="B249" s="454"/>
      <c r="C249" s="412"/>
      <c r="D249" s="412"/>
      <c r="E249" s="442"/>
      <c r="F249" s="442"/>
      <c r="G249" s="442"/>
      <c r="H249" s="442"/>
      <c r="I249" s="442"/>
      <c r="J249" s="442"/>
      <c r="K249" s="442"/>
      <c r="L249" s="416"/>
      <c r="M249" s="416"/>
      <c r="N249" s="416"/>
      <c r="O249" s="416"/>
      <c r="P249" s="416"/>
      <c r="Q249" s="398"/>
      <c r="R249" s="398"/>
      <c r="S249" s="398"/>
      <c r="T249" s="398"/>
      <c r="U249" s="457"/>
      <c r="V249" s="393"/>
      <c r="W249" s="392"/>
      <c r="X249" s="390"/>
      <c r="Y249" s="390"/>
      <c r="Z249" s="390"/>
      <c r="AA249" s="390"/>
      <c r="AB249" s="390"/>
      <c r="AC249" s="249"/>
      <c r="AD249" s="249"/>
      <c r="AE249" s="249"/>
      <c r="AF249" s="273"/>
      <c r="AG249" s="273"/>
      <c r="AH249" s="273"/>
      <c r="AI249" s="273"/>
      <c r="AJ249" s="273"/>
      <c r="AK249" s="273"/>
      <c r="AL249" s="273"/>
      <c r="AM249" s="273"/>
      <c r="AN249" s="273"/>
      <c r="AO249" s="273"/>
      <c r="AP249" s="273"/>
      <c r="AQ249" s="273"/>
      <c r="AR249" s="273"/>
      <c r="AS249" s="273"/>
      <c r="AT249" s="273"/>
      <c r="AU249" s="273"/>
      <c r="AV249" s="273"/>
      <c r="AW249" s="273"/>
      <c r="AX249" s="273"/>
      <c r="AY249" s="273"/>
      <c r="AZ249" s="273"/>
      <c r="BA249" s="273"/>
      <c r="BB249" s="273"/>
      <c r="BC249" s="273"/>
      <c r="BD249" s="273"/>
      <c r="BE249" s="273"/>
      <c r="BF249" s="273"/>
      <c r="BG249" s="273"/>
      <c r="BH249" s="273"/>
      <c r="BI249" s="273"/>
      <c r="BJ249" s="273"/>
      <c r="BK249" s="273"/>
      <c r="BL249" s="273"/>
      <c r="BM249" s="273"/>
      <c r="BN249" s="273"/>
    </row>
    <row r="250" spans="1:66" s="250" customFormat="1" x14ac:dyDescent="0.25">
      <c r="A250" s="414"/>
      <c r="B250" s="454"/>
      <c r="C250" s="412"/>
      <c r="D250" s="412"/>
      <c r="E250" s="442"/>
      <c r="F250" s="442"/>
      <c r="G250" s="442"/>
      <c r="H250" s="442"/>
      <c r="I250" s="442"/>
      <c r="J250" s="442"/>
      <c r="K250" s="442"/>
      <c r="L250" s="416"/>
      <c r="M250" s="416"/>
      <c r="N250" s="416"/>
      <c r="O250" s="416"/>
      <c r="P250" s="416"/>
      <c r="Q250" s="398"/>
      <c r="R250" s="398"/>
      <c r="S250" s="398"/>
      <c r="T250" s="398"/>
      <c r="U250" s="457"/>
      <c r="V250" s="393"/>
      <c r="W250" s="392"/>
      <c r="X250" s="390"/>
      <c r="Y250" s="390"/>
      <c r="Z250" s="390"/>
      <c r="AA250" s="390"/>
      <c r="AB250" s="390"/>
      <c r="AC250" s="249"/>
      <c r="AD250" s="249"/>
      <c r="AE250" s="249"/>
      <c r="AF250" s="273"/>
      <c r="AG250" s="273"/>
      <c r="AH250" s="273"/>
      <c r="AI250" s="273"/>
      <c r="AJ250" s="273"/>
      <c r="AK250" s="273"/>
      <c r="AL250" s="273"/>
      <c r="AM250" s="273"/>
      <c r="AN250" s="273"/>
      <c r="AO250" s="273"/>
      <c r="AP250" s="273"/>
      <c r="AQ250" s="273"/>
      <c r="AR250" s="273"/>
      <c r="AS250" s="273"/>
      <c r="AT250" s="273"/>
      <c r="AU250" s="273"/>
      <c r="AV250" s="273"/>
      <c r="AW250" s="273"/>
      <c r="AX250" s="273"/>
      <c r="AY250" s="273"/>
      <c r="AZ250" s="273"/>
      <c r="BA250" s="273"/>
      <c r="BB250" s="273"/>
      <c r="BC250" s="273"/>
      <c r="BD250" s="273"/>
      <c r="BE250" s="273"/>
      <c r="BF250" s="273"/>
      <c r="BG250" s="273"/>
      <c r="BH250" s="273"/>
      <c r="BI250" s="273"/>
      <c r="BJ250" s="273"/>
      <c r="BK250" s="273"/>
      <c r="BL250" s="273"/>
      <c r="BM250" s="273"/>
      <c r="BN250" s="273"/>
    </row>
    <row r="251" spans="1:66" s="250" customFormat="1" x14ac:dyDescent="0.25">
      <c r="A251" s="414"/>
      <c r="B251" s="454"/>
      <c r="C251" s="412"/>
      <c r="D251" s="412"/>
      <c r="E251" s="442"/>
      <c r="F251" s="442"/>
      <c r="G251" s="442"/>
      <c r="H251" s="442"/>
      <c r="I251" s="442"/>
      <c r="J251" s="442"/>
      <c r="K251" s="442"/>
      <c r="L251" s="416"/>
      <c r="M251" s="416"/>
      <c r="N251" s="416"/>
      <c r="O251" s="416"/>
      <c r="P251" s="416"/>
      <c r="Q251" s="398"/>
      <c r="R251" s="398"/>
      <c r="S251" s="398"/>
      <c r="T251" s="398"/>
      <c r="U251" s="457"/>
      <c r="V251" s="393"/>
      <c r="W251" s="392"/>
      <c r="X251" s="390"/>
      <c r="Y251" s="390"/>
      <c r="Z251" s="390"/>
      <c r="AA251" s="390"/>
      <c r="AB251" s="390"/>
      <c r="AC251" s="249"/>
      <c r="AD251" s="249"/>
      <c r="AE251" s="249"/>
      <c r="AF251" s="273"/>
      <c r="AG251" s="273"/>
      <c r="AH251" s="273"/>
      <c r="AI251" s="273"/>
      <c r="AJ251" s="273"/>
      <c r="AK251" s="273"/>
      <c r="AL251" s="273"/>
      <c r="AM251" s="273"/>
      <c r="AN251" s="273"/>
      <c r="AO251" s="273"/>
      <c r="AP251" s="273"/>
      <c r="AQ251" s="273"/>
      <c r="AR251" s="273"/>
      <c r="AS251" s="273"/>
      <c r="AT251" s="273"/>
      <c r="AU251" s="273"/>
      <c r="AV251" s="273"/>
      <c r="AW251" s="273"/>
      <c r="AX251" s="273"/>
      <c r="AY251" s="273"/>
      <c r="AZ251" s="273"/>
      <c r="BA251" s="273"/>
      <c r="BB251" s="273"/>
      <c r="BC251" s="273"/>
      <c r="BD251" s="273"/>
      <c r="BE251" s="273"/>
      <c r="BF251" s="273"/>
      <c r="BG251" s="273"/>
      <c r="BH251" s="273"/>
      <c r="BI251" s="273"/>
      <c r="BJ251" s="273"/>
      <c r="BK251" s="273"/>
      <c r="BL251" s="273"/>
      <c r="BM251" s="273"/>
      <c r="BN251" s="273"/>
    </row>
    <row r="252" spans="1:66" s="250" customFormat="1" x14ac:dyDescent="0.25">
      <c r="A252" s="414"/>
      <c r="B252" s="454"/>
      <c r="C252" s="412"/>
      <c r="D252" s="412"/>
      <c r="E252" s="442"/>
      <c r="F252" s="442"/>
      <c r="G252" s="442"/>
      <c r="H252" s="442"/>
      <c r="I252" s="442"/>
      <c r="J252" s="442"/>
      <c r="K252" s="442"/>
      <c r="L252" s="416"/>
      <c r="M252" s="416"/>
      <c r="N252" s="416"/>
      <c r="O252" s="416"/>
      <c r="P252" s="416"/>
      <c r="Q252" s="398"/>
      <c r="R252" s="398"/>
      <c r="S252" s="398"/>
      <c r="T252" s="398"/>
      <c r="U252" s="457"/>
      <c r="V252" s="393"/>
      <c r="W252" s="392"/>
      <c r="X252" s="390"/>
      <c r="Y252" s="390"/>
      <c r="Z252" s="390"/>
      <c r="AA252" s="390"/>
      <c r="AB252" s="390"/>
      <c r="AC252" s="249"/>
      <c r="AD252" s="249"/>
      <c r="AE252" s="249"/>
      <c r="AF252" s="273"/>
      <c r="AG252" s="273"/>
      <c r="AH252" s="273"/>
      <c r="AI252" s="273"/>
      <c r="AJ252" s="273"/>
      <c r="AK252" s="273"/>
      <c r="AL252" s="273"/>
      <c r="AM252" s="273"/>
      <c r="AN252" s="273"/>
      <c r="AO252" s="273"/>
      <c r="AP252" s="273"/>
      <c r="AQ252" s="273"/>
      <c r="AR252" s="273"/>
      <c r="AS252" s="273"/>
      <c r="AT252" s="273"/>
      <c r="AU252" s="273"/>
      <c r="AV252" s="273"/>
      <c r="AW252" s="273"/>
      <c r="AX252" s="273"/>
      <c r="AY252" s="273"/>
      <c r="AZ252" s="273"/>
      <c r="BA252" s="273"/>
      <c r="BB252" s="273"/>
      <c r="BC252" s="273"/>
      <c r="BD252" s="273"/>
      <c r="BE252" s="273"/>
      <c r="BF252" s="273"/>
      <c r="BG252" s="273"/>
      <c r="BH252" s="273"/>
      <c r="BI252" s="273"/>
      <c r="BJ252" s="273"/>
      <c r="BK252" s="273"/>
      <c r="BL252" s="273"/>
      <c r="BM252" s="273"/>
      <c r="BN252" s="273"/>
    </row>
    <row r="253" spans="1:66" s="250" customFormat="1" x14ac:dyDescent="0.25">
      <c r="A253" s="414"/>
      <c r="B253" s="454"/>
      <c r="C253" s="412"/>
      <c r="D253" s="412"/>
      <c r="E253" s="442"/>
      <c r="F253" s="442"/>
      <c r="G253" s="442"/>
      <c r="H253" s="442"/>
      <c r="I253" s="442"/>
      <c r="J253" s="442"/>
      <c r="K253" s="442"/>
      <c r="L253" s="416"/>
      <c r="M253" s="416"/>
      <c r="N253" s="416"/>
      <c r="O253" s="416"/>
      <c r="P253" s="416"/>
      <c r="Q253" s="398"/>
      <c r="R253" s="398"/>
      <c r="S253" s="398"/>
      <c r="T253" s="398"/>
      <c r="U253" s="457"/>
      <c r="V253" s="393"/>
      <c r="W253" s="392"/>
      <c r="X253" s="390"/>
      <c r="Y253" s="390"/>
      <c r="Z253" s="390"/>
      <c r="AA253" s="390"/>
      <c r="AB253" s="390"/>
      <c r="AC253" s="249"/>
      <c r="AD253" s="249"/>
      <c r="AE253" s="249"/>
      <c r="AF253" s="273"/>
      <c r="AG253" s="273"/>
      <c r="AH253" s="273"/>
      <c r="AI253" s="273"/>
      <c r="AJ253" s="273"/>
      <c r="AK253" s="273"/>
      <c r="AL253" s="273"/>
      <c r="AM253" s="273"/>
      <c r="AN253" s="273"/>
      <c r="AO253" s="273"/>
      <c r="AP253" s="273"/>
      <c r="AQ253" s="273"/>
      <c r="AR253" s="273"/>
      <c r="AS253" s="273"/>
      <c r="AT253" s="273"/>
      <c r="AU253" s="273"/>
      <c r="AV253" s="273"/>
      <c r="AW253" s="273"/>
      <c r="AX253" s="273"/>
      <c r="AY253" s="273"/>
      <c r="AZ253" s="273"/>
      <c r="BA253" s="273"/>
      <c r="BB253" s="273"/>
      <c r="BC253" s="273"/>
      <c r="BD253" s="273"/>
      <c r="BE253" s="273"/>
      <c r="BF253" s="273"/>
      <c r="BG253" s="273"/>
      <c r="BH253" s="273"/>
      <c r="BI253" s="273"/>
      <c r="BJ253" s="273"/>
      <c r="BK253" s="273"/>
      <c r="BL253" s="273"/>
      <c r="BM253" s="273"/>
      <c r="BN253" s="273"/>
    </row>
    <row r="254" spans="1:66" s="250" customFormat="1" x14ac:dyDescent="0.25">
      <c r="A254" s="414"/>
      <c r="B254" s="454"/>
      <c r="C254" s="412"/>
      <c r="D254" s="412"/>
      <c r="E254" s="442"/>
      <c r="F254" s="442"/>
      <c r="G254" s="442"/>
      <c r="H254" s="442"/>
      <c r="I254" s="442"/>
      <c r="J254" s="442"/>
      <c r="K254" s="442"/>
      <c r="L254" s="416"/>
      <c r="M254" s="416"/>
      <c r="N254" s="416"/>
      <c r="O254" s="416"/>
      <c r="P254" s="416"/>
      <c r="Q254" s="398"/>
      <c r="R254" s="398"/>
      <c r="S254" s="398"/>
      <c r="T254" s="398"/>
      <c r="U254" s="457"/>
      <c r="V254" s="393"/>
      <c r="W254" s="392"/>
      <c r="X254" s="390"/>
      <c r="Y254" s="390"/>
      <c r="Z254" s="390"/>
      <c r="AA254" s="390"/>
      <c r="AB254" s="390"/>
      <c r="AC254" s="249"/>
      <c r="AD254" s="249"/>
      <c r="AE254" s="249"/>
      <c r="AF254" s="273"/>
      <c r="AG254" s="273"/>
      <c r="AH254" s="273"/>
      <c r="AI254" s="273"/>
      <c r="AJ254" s="273"/>
      <c r="AK254" s="273"/>
      <c r="AL254" s="273"/>
      <c r="AM254" s="273"/>
      <c r="AN254" s="273"/>
      <c r="AO254" s="273"/>
      <c r="AP254" s="273"/>
      <c r="AQ254" s="273"/>
      <c r="AR254" s="273"/>
      <c r="AS254" s="273"/>
      <c r="AT254" s="273"/>
      <c r="AU254" s="273"/>
      <c r="AV254" s="273"/>
      <c r="AW254" s="273"/>
      <c r="AX254" s="273"/>
      <c r="AY254" s="273"/>
      <c r="AZ254" s="273"/>
      <c r="BA254" s="273"/>
      <c r="BB254" s="273"/>
      <c r="BC254" s="273"/>
      <c r="BD254" s="273"/>
      <c r="BE254" s="273"/>
      <c r="BF254" s="273"/>
      <c r="BG254" s="273"/>
      <c r="BH254" s="273"/>
      <c r="BI254" s="273"/>
      <c r="BJ254" s="273"/>
      <c r="BK254" s="273"/>
      <c r="BL254" s="273"/>
      <c r="BM254" s="273"/>
      <c r="BN254" s="273"/>
    </row>
    <row r="255" spans="1:66" s="250" customFormat="1" x14ac:dyDescent="0.25">
      <c r="A255" s="414"/>
      <c r="B255" s="454"/>
      <c r="C255" s="412"/>
      <c r="D255" s="412"/>
      <c r="E255" s="442"/>
      <c r="F255" s="442"/>
      <c r="G255" s="442"/>
      <c r="H255" s="442"/>
      <c r="I255" s="442"/>
      <c r="J255" s="442"/>
      <c r="K255" s="442"/>
      <c r="L255" s="416"/>
      <c r="M255" s="416"/>
      <c r="N255" s="416"/>
      <c r="O255" s="416"/>
      <c r="P255" s="416"/>
      <c r="Q255" s="398"/>
      <c r="R255" s="398"/>
      <c r="S255" s="398"/>
      <c r="T255" s="398"/>
      <c r="U255" s="457"/>
      <c r="V255" s="393"/>
      <c r="W255" s="392"/>
      <c r="X255" s="390"/>
      <c r="Y255" s="390"/>
      <c r="Z255" s="390"/>
      <c r="AA255" s="390"/>
      <c r="AB255" s="390"/>
      <c r="AC255" s="249"/>
      <c r="AD255" s="249"/>
      <c r="AE255" s="249"/>
      <c r="AF255" s="273"/>
      <c r="AG255" s="273"/>
      <c r="AH255" s="273"/>
      <c r="AI255" s="273"/>
      <c r="AJ255" s="273"/>
      <c r="AK255" s="273"/>
      <c r="AL255" s="273"/>
      <c r="AM255" s="273"/>
      <c r="AN255" s="273"/>
      <c r="AO255" s="273"/>
      <c r="AP255" s="273"/>
      <c r="AQ255" s="273"/>
      <c r="AR255" s="273"/>
      <c r="AS255" s="273"/>
      <c r="AT255" s="273"/>
      <c r="AU255" s="273"/>
      <c r="AV255" s="273"/>
      <c r="AW255" s="273"/>
      <c r="AX255" s="273"/>
      <c r="AY255" s="273"/>
      <c r="AZ255" s="273"/>
      <c r="BA255" s="273"/>
      <c r="BB255" s="273"/>
      <c r="BC255" s="273"/>
      <c r="BD255" s="273"/>
      <c r="BE255" s="273"/>
      <c r="BF255" s="273"/>
      <c r="BG255" s="273"/>
      <c r="BH255" s="273"/>
      <c r="BI255" s="273"/>
      <c r="BJ255" s="273"/>
      <c r="BK255" s="273"/>
      <c r="BL255" s="273"/>
      <c r="BM255" s="273"/>
      <c r="BN255" s="273"/>
    </row>
    <row r="256" spans="1:66" s="250" customFormat="1" x14ac:dyDescent="0.25">
      <c r="A256" s="414"/>
      <c r="B256" s="454"/>
      <c r="C256" s="412"/>
      <c r="D256" s="412"/>
      <c r="E256" s="442"/>
      <c r="F256" s="442"/>
      <c r="G256" s="442"/>
      <c r="H256" s="442"/>
      <c r="I256" s="442"/>
      <c r="J256" s="442"/>
      <c r="K256" s="442"/>
      <c r="L256" s="416"/>
      <c r="M256" s="416"/>
      <c r="N256" s="416"/>
      <c r="O256" s="416"/>
      <c r="P256" s="416"/>
      <c r="Q256" s="398"/>
      <c r="R256" s="398"/>
      <c r="S256" s="398"/>
      <c r="T256" s="398"/>
      <c r="U256" s="457"/>
      <c r="V256" s="393"/>
      <c r="W256" s="392"/>
      <c r="X256" s="390"/>
      <c r="Y256" s="390"/>
      <c r="Z256" s="390"/>
      <c r="AA256" s="390"/>
      <c r="AB256" s="390"/>
      <c r="AC256" s="249"/>
      <c r="AD256" s="249"/>
      <c r="AE256" s="249"/>
      <c r="AF256" s="273"/>
      <c r="AG256" s="273"/>
      <c r="AH256" s="273"/>
      <c r="AI256" s="273"/>
      <c r="AJ256" s="273"/>
      <c r="AK256" s="273"/>
      <c r="AL256" s="273"/>
      <c r="AM256" s="273"/>
      <c r="AN256" s="273"/>
      <c r="AO256" s="273"/>
      <c r="AP256" s="273"/>
      <c r="AQ256" s="273"/>
      <c r="AR256" s="273"/>
      <c r="AS256" s="273"/>
      <c r="AT256" s="273"/>
      <c r="AU256" s="273"/>
      <c r="AV256" s="273"/>
      <c r="AW256" s="273"/>
      <c r="AX256" s="273"/>
      <c r="AY256" s="273"/>
      <c r="AZ256" s="273"/>
      <c r="BA256" s="273"/>
      <c r="BB256" s="273"/>
      <c r="BC256" s="273"/>
      <c r="BD256" s="273"/>
      <c r="BE256" s="273"/>
      <c r="BF256" s="273"/>
      <c r="BG256" s="273"/>
      <c r="BH256" s="273"/>
      <c r="BI256" s="273"/>
      <c r="BJ256" s="273"/>
      <c r="BK256" s="273"/>
      <c r="BL256" s="273"/>
      <c r="BM256" s="273"/>
      <c r="BN256" s="273"/>
    </row>
    <row r="257" spans="1:66" s="250" customFormat="1" x14ac:dyDescent="0.25">
      <c r="A257" s="414"/>
      <c r="B257" s="454"/>
      <c r="C257" s="412"/>
      <c r="D257" s="412"/>
      <c r="E257" s="442"/>
      <c r="F257" s="442"/>
      <c r="G257" s="442"/>
      <c r="H257" s="442"/>
      <c r="I257" s="442"/>
      <c r="J257" s="442"/>
      <c r="K257" s="442"/>
      <c r="L257" s="416"/>
      <c r="M257" s="416"/>
      <c r="N257" s="416"/>
      <c r="O257" s="416"/>
      <c r="P257" s="416"/>
      <c r="Q257" s="398"/>
      <c r="R257" s="398"/>
      <c r="S257" s="398"/>
      <c r="T257" s="398"/>
      <c r="U257" s="457"/>
      <c r="V257" s="393"/>
      <c r="W257" s="392"/>
      <c r="X257" s="390"/>
      <c r="Y257" s="390"/>
      <c r="Z257" s="390"/>
      <c r="AA257" s="390"/>
      <c r="AB257" s="390"/>
      <c r="AC257" s="249"/>
      <c r="AD257" s="249"/>
      <c r="AE257" s="249"/>
      <c r="AF257" s="273"/>
      <c r="AG257" s="273"/>
      <c r="AH257" s="273"/>
      <c r="AI257" s="273"/>
      <c r="AJ257" s="273"/>
      <c r="AK257" s="273"/>
      <c r="AL257" s="273"/>
      <c r="AM257" s="273"/>
      <c r="AN257" s="273"/>
      <c r="AO257" s="273"/>
      <c r="AP257" s="273"/>
      <c r="AQ257" s="273"/>
      <c r="AR257" s="273"/>
      <c r="AS257" s="273"/>
      <c r="AT257" s="273"/>
      <c r="AU257" s="273"/>
      <c r="AV257" s="273"/>
      <c r="AW257" s="273"/>
      <c r="AX257" s="273"/>
      <c r="AY257" s="273"/>
      <c r="AZ257" s="273"/>
      <c r="BA257" s="273"/>
      <c r="BB257" s="273"/>
      <c r="BC257" s="273"/>
      <c r="BD257" s="273"/>
      <c r="BE257" s="273"/>
      <c r="BF257" s="273"/>
      <c r="BG257" s="273"/>
      <c r="BH257" s="273"/>
      <c r="BI257" s="273"/>
      <c r="BJ257" s="273"/>
      <c r="BK257" s="273"/>
      <c r="BL257" s="273"/>
      <c r="BM257" s="273"/>
      <c r="BN257" s="273"/>
    </row>
    <row r="258" spans="1:66" s="250" customFormat="1" x14ac:dyDescent="0.25">
      <c r="A258" s="414"/>
      <c r="B258" s="454"/>
      <c r="C258" s="412"/>
      <c r="D258" s="412"/>
      <c r="E258" s="442"/>
      <c r="F258" s="442"/>
      <c r="G258" s="442"/>
      <c r="H258" s="442"/>
      <c r="I258" s="442"/>
      <c r="J258" s="442"/>
      <c r="K258" s="442"/>
      <c r="L258" s="416"/>
      <c r="M258" s="416"/>
      <c r="N258" s="416"/>
      <c r="O258" s="416"/>
      <c r="P258" s="416"/>
      <c r="Q258" s="398"/>
      <c r="R258" s="398"/>
      <c r="S258" s="398"/>
      <c r="T258" s="398"/>
      <c r="U258" s="457"/>
      <c r="V258" s="393"/>
      <c r="W258" s="392"/>
      <c r="X258" s="390"/>
      <c r="Y258" s="390"/>
      <c r="Z258" s="390"/>
      <c r="AA258" s="390"/>
      <c r="AB258" s="390"/>
      <c r="AC258" s="249"/>
      <c r="AD258" s="249"/>
      <c r="AE258" s="249"/>
      <c r="AF258" s="273"/>
      <c r="AG258" s="273"/>
      <c r="AH258" s="273"/>
      <c r="AI258" s="273"/>
      <c r="AJ258" s="273"/>
      <c r="AK258" s="273"/>
      <c r="AL258" s="273"/>
      <c r="AM258" s="273"/>
      <c r="AN258" s="273"/>
      <c r="AO258" s="273"/>
      <c r="AP258" s="273"/>
      <c r="AQ258" s="273"/>
      <c r="AR258" s="273"/>
      <c r="AS258" s="273"/>
      <c r="AT258" s="273"/>
      <c r="AU258" s="273"/>
      <c r="AV258" s="273"/>
      <c r="AW258" s="273"/>
      <c r="AX258" s="273"/>
      <c r="AY258" s="273"/>
      <c r="AZ258" s="273"/>
      <c r="BA258" s="273"/>
      <c r="BB258" s="273"/>
      <c r="BC258" s="273"/>
      <c r="BD258" s="273"/>
      <c r="BE258" s="273"/>
      <c r="BF258" s="273"/>
      <c r="BG258" s="273"/>
      <c r="BH258" s="273"/>
      <c r="BI258" s="273"/>
      <c r="BJ258" s="273"/>
      <c r="BK258" s="273"/>
      <c r="BL258" s="273"/>
      <c r="BM258" s="273"/>
      <c r="BN258" s="273"/>
    </row>
    <row r="259" spans="1:66" s="250" customFormat="1" x14ac:dyDescent="0.25">
      <c r="A259" s="414"/>
      <c r="B259" s="454"/>
      <c r="C259" s="412"/>
      <c r="D259" s="412"/>
      <c r="E259" s="442"/>
      <c r="F259" s="442"/>
      <c r="G259" s="442"/>
      <c r="H259" s="442"/>
      <c r="I259" s="442"/>
      <c r="J259" s="442"/>
      <c r="K259" s="442"/>
      <c r="L259" s="416"/>
      <c r="M259" s="416"/>
      <c r="N259" s="416"/>
      <c r="O259" s="416"/>
      <c r="P259" s="416"/>
      <c r="Q259" s="398"/>
      <c r="R259" s="398"/>
      <c r="S259" s="398"/>
      <c r="T259" s="398"/>
      <c r="U259" s="457"/>
      <c r="V259" s="393"/>
      <c r="W259" s="392"/>
      <c r="X259" s="390"/>
      <c r="Y259" s="390"/>
      <c r="Z259" s="390"/>
      <c r="AA259" s="390"/>
      <c r="AB259" s="390"/>
      <c r="AC259" s="249"/>
      <c r="AD259" s="249"/>
      <c r="AE259" s="249"/>
      <c r="AF259" s="273"/>
      <c r="AG259" s="273"/>
      <c r="AH259" s="273"/>
      <c r="AI259" s="273"/>
      <c r="AJ259" s="273"/>
      <c r="AK259" s="273"/>
      <c r="AL259" s="273"/>
      <c r="AM259" s="273"/>
      <c r="AN259" s="273"/>
      <c r="AO259" s="273"/>
      <c r="AP259" s="273"/>
      <c r="AQ259" s="273"/>
      <c r="AR259" s="273"/>
      <c r="AS259" s="273"/>
      <c r="AT259" s="273"/>
      <c r="AU259" s="273"/>
      <c r="AV259" s="273"/>
      <c r="AW259" s="273"/>
      <c r="AX259" s="273"/>
      <c r="AY259" s="273"/>
      <c r="AZ259" s="273"/>
      <c r="BA259" s="273"/>
      <c r="BB259" s="273"/>
      <c r="BC259" s="273"/>
      <c r="BD259" s="273"/>
      <c r="BE259" s="273"/>
      <c r="BF259" s="273"/>
      <c r="BG259" s="273"/>
      <c r="BH259" s="273"/>
      <c r="BI259" s="273"/>
      <c r="BJ259" s="273"/>
      <c r="BK259" s="273"/>
      <c r="BL259" s="273"/>
      <c r="BM259" s="273"/>
      <c r="BN259" s="273"/>
    </row>
    <row r="260" spans="1:66" s="250" customFormat="1" x14ac:dyDescent="0.25">
      <c r="A260" s="414"/>
      <c r="B260" s="454"/>
      <c r="C260" s="412"/>
      <c r="D260" s="412"/>
      <c r="E260" s="442"/>
      <c r="F260" s="442"/>
      <c r="G260" s="442"/>
      <c r="H260" s="442"/>
      <c r="I260" s="442"/>
      <c r="J260" s="442"/>
      <c r="K260" s="442"/>
      <c r="L260" s="416"/>
      <c r="M260" s="416"/>
      <c r="N260" s="416"/>
      <c r="O260" s="416"/>
      <c r="P260" s="416"/>
      <c r="Q260" s="398"/>
      <c r="R260" s="398"/>
      <c r="S260" s="398"/>
      <c r="T260" s="398"/>
      <c r="U260" s="457"/>
      <c r="V260" s="393"/>
      <c r="W260" s="392"/>
      <c r="X260" s="390"/>
      <c r="Y260" s="390"/>
      <c r="Z260" s="390"/>
      <c r="AA260" s="390"/>
      <c r="AB260" s="390"/>
      <c r="AC260" s="249"/>
      <c r="AD260" s="249"/>
      <c r="AE260" s="249"/>
      <c r="AF260" s="273"/>
      <c r="AG260" s="273"/>
      <c r="AH260" s="273"/>
      <c r="AI260" s="273"/>
      <c r="AJ260" s="273"/>
      <c r="AK260" s="273"/>
      <c r="AL260" s="273"/>
      <c r="AM260" s="273"/>
      <c r="AN260" s="273"/>
      <c r="AO260" s="273"/>
      <c r="AP260" s="273"/>
      <c r="AQ260" s="273"/>
      <c r="AR260" s="273"/>
      <c r="AS260" s="273"/>
      <c r="AT260" s="273"/>
      <c r="AU260" s="273"/>
      <c r="AV260" s="273"/>
      <c r="AW260" s="273"/>
      <c r="AX260" s="273"/>
      <c r="AY260" s="273"/>
      <c r="AZ260" s="273"/>
      <c r="BA260" s="273"/>
      <c r="BB260" s="273"/>
      <c r="BC260" s="273"/>
      <c r="BD260" s="273"/>
      <c r="BE260" s="273"/>
      <c r="BF260" s="273"/>
      <c r="BG260" s="273"/>
      <c r="BH260" s="273"/>
      <c r="BI260" s="273"/>
      <c r="BJ260" s="273"/>
      <c r="BK260" s="273"/>
      <c r="BL260" s="273"/>
      <c r="BM260" s="273"/>
      <c r="BN260" s="273"/>
    </row>
    <row r="261" spans="1:66" s="250" customFormat="1" x14ac:dyDescent="0.25">
      <c r="A261" s="414"/>
      <c r="B261" s="454"/>
      <c r="C261" s="412"/>
      <c r="D261" s="412"/>
      <c r="E261" s="442"/>
      <c r="F261" s="442"/>
      <c r="G261" s="442"/>
      <c r="H261" s="442"/>
      <c r="I261" s="442"/>
      <c r="J261" s="442"/>
      <c r="K261" s="442"/>
      <c r="L261" s="416"/>
      <c r="M261" s="416"/>
      <c r="N261" s="416"/>
      <c r="O261" s="416"/>
      <c r="P261" s="416"/>
      <c r="Q261" s="398"/>
      <c r="R261" s="398"/>
      <c r="S261" s="398"/>
      <c r="T261" s="398"/>
      <c r="U261" s="457"/>
      <c r="V261" s="393"/>
      <c r="W261" s="392"/>
      <c r="X261" s="390"/>
      <c r="Y261" s="390"/>
      <c r="Z261" s="390"/>
      <c r="AA261" s="390"/>
      <c r="AB261" s="390"/>
      <c r="AC261" s="249"/>
      <c r="AD261" s="249"/>
      <c r="AE261" s="249"/>
      <c r="AF261" s="273"/>
      <c r="AG261" s="273"/>
      <c r="AH261" s="273"/>
      <c r="AI261" s="273"/>
      <c r="AJ261" s="273"/>
      <c r="AK261" s="273"/>
      <c r="AL261" s="273"/>
      <c r="AM261" s="273"/>
      <c r="AN261" s="273"/>
      <c r="AO261" s="273"/>
      <c r="AP261" s="273"/>
      <c r="AQ261" s="273"/>
      <c r="AR261" s="273"/>
      <c r="AS261" s="273"/>
      <c r="AT261" s="273"/>
      <c r="AU261" s="273"/>
      <c r="AV261" s="273"/>
      <c r="AW261" s="273"/>
      <c r="AX261" s="273"/>
      <c r="AY261" s="273"/>
      <c r="AZ261" s="273"/>
      <c r="BA261" s="273"/>
      <c r="BB261" s="273"/>
      <c r="BC261" s="273"/>
      <c r="BD261" s="273"/>
      <c r="BE261" s="273"/>
      <c r="BF261" s="273"/>
      <c r="BG261" s="273"/>
      <c r="BH261" s="273"/>
      <c r="BI261" s="273"/>
      <c r="BJ261" s="273"/>
      <c r="BK261" s="273"/>
      <c r="BL261" s="273"/>
      <c r="BM261" s="273"/>
      <c r="BN261" s="273"/>
    </row>
    <row r="262" spans="1:66" s="250" customFormat="1" x14ac:dyDescent="0.25">
      <c r="A262" s="414"/>
      <c r="B262" s="454"/>
      <c r="C262" s="412"/>
      <c r="D262" s="412"/>
      <c r="E262" s="442"/>
      <c r="F262" s="442"/>
      <c r="G262" s="442"/>
      <c r="H262" s="442"/>
      <c r="I262" s="442"/>
      <c r="J262" s="442"/>
      <c r="K262" s="442"/>
      <c r="L262" s="416"/>
      <c r="M262" s="416"/>
      <c r="N262" s="416"/>
      <c r="O262" s="416"/>
      <c r="P262" s="416"/>
      <c r="Q262" s="398"/>
      <c r="R262" s="398"/>
      <c r="S262" s="398"/>
      <c r="T262" s="398"/>
      <c r="U262" s="457"/>
      <c r="V262" s="393"/>
      <c r="W262" s="392"/>
      <c r="X262" s="390"/>
      <c r="Y262" s="390"/>
      <c r="Z262" s="390"/>
      <c r="AA262" s="390"/>
      <c r="AB262" s="390"/>
      <c r="AC262" s="249"/>
      <c r="AD262" s="249"/>
      <c r="AE262" s="249"/>
      <c r="AF262" s="273"/>
      <c r="AG262" s="273"/>
      <c r="AH262" s="273"/>
      <c r="AI262" s="273"/>
      <c r="AJ262" s="273"/>
      <c r="AK262" s="273"/>
      <c r="AL262" s="273"/>
      <c r="AM262" s="273"/>
      <c r="AN262" s="273"/>
      <c r="AO262" s="273"/>
      <c r="AP262" s="273"/>
      <c r="AQ262" s="273"/>
      <c r="AR262" s="273"/>
      <c r="AS262" s="273"/>
      <c r="AT262" s="273"/>
      <c r="AU262" s="273"/>
      <c r="AV262" s="273"/>
      <c r="AW262" s="273"/>
      <c r="AX262" s="273"/>
      <c r="AY262" s="273"/>
      <c r="AZ262" s="273"/>
      <c r="BA262" s="273"/>
      <c r="BB262" s="273"/>
      <c r="BC262" s="273"/>
      <c r="BD262" s="273"/>
      <c r="BE262" s="273"/>
      <c r="BF262" s="273"/>
      <c r="BG262" s="273"/>
      <c r="BH262" s="273"/>
      <c r="BI262" s="273"/>
      <c r="BJ262" s="273"/>
      <c r="BK262" s="273"/>
      <c r="BL262" s="273"/>
      <c r="BM262" s="273"/>
      <c r="BN262" s="273"/>
    </row>
    <row r="263" spans="1:66" s="250" customFormat="1" x14ac:dyDescent="0.25">
      <c r="A263" s="414"/>
      <c r="B263" s="454"/>
      <c r="C263" s="412"/>
      <c r="D263" s="412"/>
      <c r="E263" s="442"/>
      <c r="F263" s="442"/>
      <c r="G263" s="442"/>
      <c r="H263" s="442"/>
      <c r="I263" s="442"/>
      <c r="J263" s="442"/>
      <c r="K263" s="442"/>
      <c r="L263" s="416"/>
      <c r="M263" s="416"/>
      <c r="N263" s="416"/>
      <c r="O263" s="416"/>
      <c r="P263" s="416"/>
      <c r="Q263" s="398"/>
      <c r="R263" s="398"/>
      <c r="S263" s="398"/>
      <c r="T263" s="398"/>
      <c r="U263" s="457"/>
      <c r="V263" s="393"/>
      <c r="W263" s="392"/>
      <c r="X263" s="390"/>
      <c r="Y263" s="390"/>
      <c r="Z263" s="390"/>
      <c r="AA263" s="390"/>
      <c r="AB263" s="390"/>
      <c r="AC263" s="249"/>
      <c r="AD263" s="249"/>
      <c r="AE263" s="249"/>
      <c r="AF263" s="273"/>
      <c r="AG263" s="273"/>
      <c r="AH263" s="273"/>
      <c r="AI263" s="273"/>
      <c r="AJ263" s="273"/>
      <c r="AK263" s="273"/>
      <c r="AL263" s="273"/>
      <c r="AM263" s="273"/>
      <c r="AN263" s="273"/>
      <c r="AO263" s="273"/>
      <c r="AP263" s="273"/>
      <c r="AQ263" s="273"/>
      <c r="AR263" s="273"/>
      <c r="AS263" s="273"/>
      <c r="AT263" s="273"/>
      <c r="AU263" s="273"/>
      <c r="AV263" s="273"/>
      <c r="AW263" s="273"/>
      <c r="AX263" s="273"/>
      <c r="AY263" s="273"/>
      <c r="AZ263" s="273"/>
      <c r="BA263" s="273"/>
      <c r="BB263" s="273"/>
      <c r="BC263" s="273"/>
      <c r="BD263" s="273"/>
      <c r="BE263" s="273"/>
      <c r="BF263" s="273"/>
      <c r="BG263" s="273"/>
      <c r="BH263" s="273"/>
      <c r="BI263" s="273"/>
      <c r="BJ263" s="273"/>
      <c r="BK263" s="273"/>
      <c r="BL263" s="273"/>
      <c r="BM263" s="273"/>
      <c r="BN263" s="273"/>
    </row>
    <row r="264" spans="1:66" s="250" customFormat="1" x14ac:dyDescent="0.25">
      <c r="A264" s="414"/>
      <c r="B264" s="454"/>
      <c r="C264" s="412"/>
      <c r="D264" s="412"/>
      <c r="E264" s="442"/>
      <c r="F264" s="442"/>
      <c r="G264" s="442"/>
      <c r="H264" s="442"/>
      <c r="I264" s="442"/>
      <c r="J264" s="442"/>
      <c r="K264" s="442"/>
      <c r="L264" s="416"/>
      <c r="M264" s="416"/>
      <c r="N264" s="416"/>
      <c r="O264" s="416"/>
      <c r="P264" s="416"/>
      <c r="Q264" s="398"/>
      <c r="R264" s="398"/>
      <c r="S264" s="398"/>
      <c r="T264" s="398"/>
      <c r="U264" s="457"/>
      <c r="V264" s="393"/>
      <c r="W264" s="392"/>
      <c r="X264" s="390"/>
      <c r="Y264" s="390"/>
      <c r="Z264" s="390"/>
      <c r="AA264" s="390"/>
      <c r="AB264" s="390"/>
      <c r="AC264" s="249"/>
      <c r="AD264" s="249"/>
      <c r="AE264" s="249"/>
      <c r="AF264" s="273"/>
      <c r="AG264" s="273"/>
      <c r="AH264" s="273"/>
      <c r="AI264" s="273"/>
      <c r="AJ264" s="273"/>
      <c r="AK264" s="273"/>
      <c r="AL264" s="273"/>
      <c r="AM264" s="273"/>
      <c r="AN264" s="273"/>
      <c r="AO264" s="273"/>
      <c r="AP264" s="273"/>
      <c r="AQ264" s="273"/>
      <c r="AR264" s="273"/>
      <c r="AS264" s="273"/>
      <c r="AT264" s="273"/>
      <c r="AU264" s="273"/>
      <c r="AV264" s="273"/>
      <c r="AW264" s="273"/>
      <c r="AX264" s="273"/>
      <c r="AY264" s="273"/>
      <c r="AZ264" s="273"/>
      <c r="BA264" s="273"/>
      <c r="BB264" s="273"/>
      <c r="BC264" s="273"/>
      <c r="BD264" s="273"/>
      <c r="BE264" s="273"/>
      <c r="BF264" s="273"/>
      <c r="BG264" s="273"/>
      <c r="BH264" s="273"/>
      <c r="BI264" s="273"/>
      <c r="BJ264" s="273"/>
      <c r="BK264" s="273"/>
      <c r="BL264" s="273"/>
      <c r="BM264" s="273"/>
      <c r="BN264" s="273"/>
    </row>
    <row r="265" spans="1:66" s="250" customFormat="1" x14ac:dyDescent="0.25">
      <c r="A265" s="414"/>
      <c r="B265" s="454"/>
      <c r="C265" s="412"/>
      <c r="D265" s="412"/>
      <c r="E265" s="442"/>
      <c r="F265" s="442"/>
      <c r="G265" s="442"/>
      <c r="H265" s="442"/>
      <c r="I265" s="442"/>
      <c r="J265" s="442"/>
      <c r="K265" s="442"/>
      <c r="L265" s="416"/>
      <c r="M265" s="416"/>
      <c r="N265" s="416"/>
      <c r="O265" s="416"/>
      <c r="P265" s="416"/>
      <c r="Q265" s="398"/>
      <c r="R265" s="398"/>
      <c r="S265" s="398"/>
      <c r="T265" s="398"/>
      <c r="U265" s="457"/>
      <c r="V265" s="393"/>
      <c r="W265" s="392"/>
      <c r="X265" s="390"/>
      <c r="Y265" s="390"/>
      <c r="Z265" s="390"/>
      <c r="AA265" s="390"/>
      <c r="AB265" s="390"/>
      <c r="AC265" s="249"/>
      <c r="AD265" s="249"/>
      <c r="AE265" s="249"/>
      <c r="AF265" s="273"/>
      <c r="AG265" s="273"/>
      <c r="AH265" s="273"/>
      <c r="AI265" s="273"/>
      <c r="AJ265" s="273"/>
      <c r="AK265" s="273"/>
      <c r="AL265" s="273"/>
      <c r="AM265" s="273"/>
      <c r="AN265" s="273"/>
      <c r="AO265" s="273"/>
      <c r="AP265" s="273"/>
      <c r="AQ265" s="273"/>
      <c r="AR265" s="273"/>
      <c r="AS265" s="273"/>
      <c r="AT265" s="273"/>
      <c r="AU265" s="273"/>
      <c r="AV265" s="273"/>
      <c r="AW265" s="273"/>
      <c r="AX265" s="273"/>
      <c r="AY265" s="273"/>
      <c r="AZ265" s="273"/>
      <c r="BA265" s="273"/>
      <c r="BB265" s="273"/>
      <c r="BC265" s="273"/>
      <c r="BD265" s="273"/>
      <c r="BE265" s="273"/>
      <c r="BF265" s="273"/>
      <c r="BG265" s="273"/>
      <c r="BH265" s="273"/>
      <c r="BI265" s="273"/>
      <c r="BJ265" s="273"/>
      <c r="BK265" s="273"/>
      <c r="BL265" s="273"/>
      <c r="BM265" s="273"/>
      <c r="BN265" s="273"/>
    </row>
    <row r="266" spans="1:66" s="250" customFormat="1" x14ac:dyDescent="0.25">
      <c r="A266" s="414"/>
      <c r="B266" s="454"/>
      <c r="C266" s="412"/>
      <c r="D266" s="412"/>
      <c r="E266" s="442"/>
      <c r="F266" s="442"/>
      <c r="G266" s="442"/>
      <c r="H266" s="442"/>
      <c r="I266" s="442"/>
      <c r="J266" s="442"/>
      <c r="K266" s="442"/>
      <c r="L266" s="416"/>
      <c r="M266" s="416"/>
      <c r="N266" s="416"/>
      <c r="O266" s="416"/>
      <c r="P266" s="416"/>
      <c r="Q266" s="398"/>
      <c r="R266" s="398"/>
      <c r="S266" s="398"/>
      <c r="T266" s="398"/>
      <c r="U266" s="457"/>
      <c r="V266" s="393"/>
      <c r="W266" s="392"/>
      <c r="X266" s="390"/>
      <c r="Y266" s="390"/>
      <c r="Z266" s="390"/>
      <c r="AA266" s="390"/>
      <c r="AB266" s="390"/>
      <c r="AC266" s="249"/>
      <c r="AD266" s="249"/>
      <c r="AE266" s="249"/>
      <c r="AF266" s="273"/>
      <c r="AG266" s="273"/>
      <c r="AH266" s="273"/>
      <c r="AI266" s="273"/>
      <c r="AJ266" s="273"/>
      <c r="AK266" s="273"/>
      <c r="AL266" s="273"/>
      <c r="AM266" s="273"/>
      <c r="AN266" s="273"/>
      <c r="AO266" s="273"/>
      <c r="AP266" s="273"/>
      <c r="AQ266" s="273"/>
      <c r="AR266" s="273"/>
      <c r="AS266" s="273"/>
      <c r="AT266" s="273"/>
      <c r="AU266" s="273"/>
      <c r="AV266" s="273"/>
      <c r="AW266" s="273"/>
      <c r="AX266" s="273"/>
      <c r="AY266" s="273"/>
      <c r="AZ266" s="273"/>
      <c r="BA266" s="273"/>
      <c r="BB266" s="273"/>
      <c r="BC266" s="273"/>
      <c r="BD266" s="273"/>
      <c r="BE266" s="273"/>
      <c r="BF266" s="273"/>
      <c r="BG266" s="273"/>
      <c r="BH266" s="273"/>
      <c r="BI266" s="273"/>
      <c r="BJ266" s="273"/>
      <c r="BK266" s="273"/>
      <c r="BL266" s="273"/>
      <c r="BM266" s="273"/>
      <c r="BN266" s="273"/>
    </row>
    <row r="267" spans="1:66" s="250" customFormat="1" x14ac:dyDescent="0.25">
      <c r="A267" s="414"/>
      <c r="B267" s="454"/>
      <c r="C267" s="412"/>
      <c r="D267" s="412"/>
      <c r="E267" s="442"/>
      <c r="F267" s="442"/>
      <c r="G267" s="442"/>
      <c r="H267" s="442"/>
      <c r="I267" s="442"/>
      <c r="J267" s="442"/>
      <c r="K267" s="442"/>
      <c r="L267" s="416"/>
      <c r="M267" s="416"/>
      <c r="N267" s="416"/>
      <c r="O267" s="416"/>
      <c r="P267" s="416"/>
      <c r="Q267" s="398"/>
      <c r="R267" s="398"/>
      <c r="S267" s="398"/>
      <c r="T267" s="398"/>
      <c r="U267" s="457"/>
      <c r="V267" s="393"/>
      <c r="W267" s="392"/>
      <c r="X267" s="390"/>
      <c r="Y267" s="390"/>
      <c r="Z267" s="390"/>
      <c r="AA267" s="390"/>
      <c r="AB267" s="390"/>
      <c r="AC267" s="249"/>
      <c r="AD267" s="249"/>
      <c r="AE267" s="249"/>
      <c r="AF267" s="273"/>
      <c r="AG267" s="273"/>
      <c r="AH267" s="273"/>
      <c r="AI267" s="273"/>
      <c r="AJ267" s="273"/>
      <c r="AK267" s="273"/>
      <c r="AL267" s="273"/>
      <c r="AM267" s="273"/>
      <c r="AN267" s="273"/>
      <c r="AO267" s="273"/>
      <c r="AP267" s="273"/>
      <c r="AQ267" s="273"/>
      <c r="AR267" s="273"/>
      <c r="AS267" s="273"/>
      <c r="AT267" s="273"/>
      <c r="AU267" s="273"/>
      <c r="AV267" s="273"/>
      <c r="AW267" s="273"/>
      <c r="AX267" s="273"/>
      <c r="AY267" s="273"/>
      <c r="AZ267" s="273"/>
      <c r="BA267" s="273"/>
      <c r="BB267" s="273"/>
      <c r="BC267" s="273"/>
      <c r="BD267" s="273"/>
      <c r="BE267" s="273"/>
      <c r="BF267" s="273"/>
      <c r="BG267" s="273"/>
      <c r="BH267" s="273"/>
      <c r="BI267" s="273"/>
      <c r="BJ267" s="273"/>
      <c r="BK267" s="273"/>
      <c r="BL267" s="273"/>
      <c r="BM267" s="273"/>
      <c r="BN267" s="273"/>
    </row>
    <row r="268" spans="1:66" s="250" customFormat="1" x14ac:dyDescent="0.25">
      <c r="A268" s="414"/>
      <c r="B268" s="454"/>
      <c r="C268" s="412"/>
      <c r="D268" s="412"/>
      <c r="E268" s="442"/>
      <c r="F268" s="442"/>
      <c r="G268" s="442"/>
      <c r="H268" s="442"/>
      <c r="I268" s="442"/>
      <c r="J268" s="442"/>
      <c r="K268" s="442"/>
      <c r="L268" s="416"/>
      <c r="M268" s="416"/>
      <c r="N268" s="416"/>
      <c r="O268" s="416"/>
      <c r="P268" s="416"/>
      <c r="Q268" s="398"/>
      <c r="R268" s="398"/>
      <c r="S268" s="398"/>
      <c r="T268" s="398"/>
      <c r="U268" s="457"/>
      <c r="V268" s="393"/>
      <c r="W268" s="392"/>
      <c r="X268" s="390"/>
      <c r="Y268" s="390"/>
      <c r="Z268" s="390"/>
      <c r="AA268" s="390"/>
      <c r="AB268" s="390"/>
      <c r="AC268" s="249"/>
      <c r="AD268" s="249"/>
      <c r="AE268" s="249"/>
      <c r="AF268" s="273"/>
      <c r="AG268" s="273"/>
      <c r="AH268" s="273"/>
      <c r="AI268" s="273"/>
      <c r="AJ268" s="273"/>
      <c r="AK268" s="273"/>
      <c r="AL268" s="273"/>
      <c r="AM268" s="273"/>
      <c r="AN268" s="273"/>
      <c r="AO268" s="273"/>
      <c r="AP268" s="273"/>
      <c r="AQ268" s="273"/>
      <c r="AR268" s="273"/>
      <c r="AS268" s="273"/>
      <c r="AT268" s="273"/>
      <c r="AU268" s="273"/>
      <c r="AV268" s="273"/>
      <c r="AW268" s="273"/>
      <c r="AX268" s="273"/>
      <c r="AY268" s="273"/>
      <c r="AZ268" s="273"/>
      <c r="BA268" s="273"/>
      <c r="BB268" s="273"/>
      <c r="BC268" s="273"/>
      <c r="BD268" s="273"/>
      <c r="BE268" s="273"/>
      <c r="BF268" s="273"/>
      <c r="BG268" s="273"/>
      <c r="BH268" s="273"/>
      <c r="BI268" s="273"/>
      <c r="BJ268" s="273"/>
      <c r="BK268" s="273"/>
      <c r="BL268" s="273"/>
      <c r="BM268" s="273"/>
      <c r="BN268" s="273"/>
    </row>
    <row r="269" spans="1:66" s="250" customFormat="1" x14ac:dyDescent="0.25">
      <c r="A269" s="414"/>
      <c r="B269" s="454"/>
      <c r="C269" s="412"/>
      <c r="D269" s="412"/>
      <c r="E269" s="442"/>
      <c r="F269" s="442"/>
      <c r="G269" s="442"/>
      <c r="H269" s="442"/>
      <c r="I269" s="442"/>
      <c r="J269" s="442"/>
      <c r="K269" s="442"/>
      <c r="L269" s="416"/>
      <c r="M269" s="416"/>
      <c r="N269" s="416"/>
      <c r="O269" s="416"/>
      <c r="P269" s="416"/>
      <c r="Q269" s="398"/>
      <c r="R269" s="398"/>
      <c r="S269" s="398"/>
      <c r="T269" s="398"/>
      <c r="U269" s="457"/>
      <c r="V269" s="393"/>
      <c r="W269" s="392"/>
      <c r="X269" s="390"/>
      <c r="Y269" s="390"/>
      <c r="Z269" s="390"/>
      <c r="AA269" s="390"/>
      <c r="AB269" s="390"/>
      <c r="AC269" s="249"/>
      <c r="AD269" s="249"/>
      <c r="AE269" s="249"/>
      <c r="AF269" s="273"/>
      <c r="AG269" s="273"/>
      <c r="AH269" s="273"/>
      <c r="AI269" s="273"/>
      <c r="AJ269" s="273"/>
      <c r="AK269" s="273"/>
      <c r="AL269" s="273"/>
      <c r="AM269" s="273"/>
      <c r="AN269" s="273"/>
      <c r="AO269" s="273"/>
      <c r="AP269" s="273"/>
      <c r="AQ269" s="273"/>
      <c r="AR269" s="273"/>
      <c r="AS269" s="273"/>
      <c r="AT269" s="273"/>
      <c r="AU269" s="273"/>
      <c r="AV269" s="273"/>
      <c r="AW269" s="273"/>
      <c r="AX269" s="273"/>
      <c r="AY269" s="273"/>
      <c r="AZ269" s="273"/>
      <c r="BA269" s="273"/>
      <c r="BB269" s="273"/>
      <c r="BC269" s="273"/>
      <c r="BD269" s="273"/>
      <c r="BE269" s="273"/>
      <c r="BF269" s="273"/>
      <c r="BG269" s="273"/>
      <c r="BH269" s="273"/>
      <c r="BI269" s="273"/>
      <c r="BJ269" s="273"/>
      <c r="BK269" s="273"/>
      <c r="BL269" s="273"/>
      <c r="BM269" s="273"/>
      <c r="BN269" s="273"/>
    </row>
    <row r="270" spans="1:66" s="250" customFormat="1" x14ac:dyDescent="0.25">
      <c r="A270" s="414"/>
      <c r="B270" s="454"/>
      <c r="C270" s="412"/>
      <c r="D270" s="412"/>
      <c r="E270" s="442"/>
      <c r="F270" s="442"/>
      <c r="G270" s="442"/>
      <c r="H270" s="442"/>
      <c r="I270" s="442"/>
      <c r="J270" s="442"/>
      <c r="K270" s="442"/>
      <c r="L270" s="416"/>
      <c r="M270" s="416"/>
      <c r="N270" s="416"/>
      <c r="O270" s="416"/>
      <c r="P270" s="416"/>
      <c r="Q270" s="398"/>
      <c r="R270" s="398"/>
      <c r="S270" s="398"/>
      <c r="T270" s="398"/>
      <c r="U270" s="457"/>
      <c r="V270" s="393"/>
      <c r="W270" s="392"/>
      <c r="X270" s="390"/>
      <c r="Y270" s="390"/>
      <c r="Z270" s="390"/>
      <c r="AA270" s="390"/>
      <c r="AB270" s="390"/>
      <c r="AC270" s="249"/>
      <c r="AD270" s="249"/>
      <c r="AE270" s="249"/>
      <c r="AF270" s="273"/>
      <c r="AG270" s="273"/>
      <c r="AH270" s="273"/>
      <c r="AI270" s="273"/>
      <c r="AJ270" s="273"/>
      <c r="AK270" s="273"/>
      <c r="AL270" s="273"/>
      <c r="AM270" s="273"/>
      <c r="AN270" s="273"/>
      <c r="AO270" s="273"/>
      <c r="AP270" s="273"/>
      <c r="AQ270" s="273"/>
      <c r="AR270" s="273"/>
      <c r="AS270" s="273"/>
      <c r="AT270" s="273"/>
      <c r="AU270" s="273"/>
      <c r="AV270" s="273"/>
      <c r="AW270" s="273"/>
      <c r="AX270" s="273"/>
      <c r="AY270" s="273"/>
      <c r="AZ270" s="273"/>
      <c r="BA270" s="273"/>
      <c r="BB270" s="273"/>
      <c r="BC270" s="273"/>
      <c r="BD270" s="273"/>
      <c r="BE270" s="273"/>
      <c r="BF270" s="273"/>
      <c r="BG270" s="273"/>
      <c r="BH270" s="273"/>
      <c r="BI270" s="273"/>
      <c r="BJ270" s="273"/>
      <c r="BK270" s="273"/>
      <c r="BL270" s="273"/>
      <c r="BM270" s="273"/>
      <c r="BN270" s="273"/>
    </row>
    <row r="271" spans="1:66" s="250" customFormat="1" x14ac:dyDescent="0.25">
      <c r="A271" s="414"/>
      <c r="B271" s="454"/>
      <c r="C271" s="412"/>
      <c r="D271" s="412"/>
      <c r="E271" s="442"/>
      <c r="F271" s="442"/>
      <c r="G271" s="442"/>
      <c r="H271" s="442"/>
      <c r="I271" s="442"/>
      <c r="J271" s="442"/>
      <c r="K271" s="442"/>
      <c r="L271" s="416"/>
      <c r="M271" s="416"/>
      <c r="N271" s="416"/>
      <c r="O271" s="416"/>
      <c r="P271" s="416"/>
      <c r="Q271" s="398"/>
      <c r="R271" s="398"/>
      <c r="S271" s="398"/>
      <c r="T271" s="398"/>
      <c r="U271" s="457"/>
      <c r="V271" s="393"/>
      <c r="W271" s="392"/>
      <c r="X271" s="390"/>
      <c r="Y271" s="390"/>
      <c r="Z271" s="390"/>
      <c r="AA271" s="390"/>
      <c r="AB271" s="390"/>
      <c r="AC271" s="249"/>
      <c r="AD271" s="249"/>
      <c r="AE271" s="249"/>
      <c r="AF271" s="273"/>
      <c r="AG271" s="273"/>
      <c r="AH271" s="273"/>
      <c r="AI271" s="273"/>
      <c r="AJ271" s="273"/>
      <c r="AK271" s="273"/>
      <c r="AL271" s="273"/>
      <c r="AM271" s="273"/>
      <c r="AN271" s="273"/>
      <c r="AO271" s="273"/>
      <c r="AP271" s="273"/>
      <c r="AQ271" s="273"/>
      <c r="AR271" s="273"/>
      <c r="AS271" s="273"/>
      <c r="AT271" s="273"/>
      <c r="AU271" s="273"/>
      <c r="AV271" s="273"/>
      <c r="AW271" s="273"/>
      <c r="AX271" s="273"/>
      <c r="AY271" s="273"/>
      <c r="AZ271" s="273"/>
      <c r="BA271" s="273"/>
      <c r="BB271" s="273"/>
      <c r="BC271" s="273"/>
      <c r="BD271" s="273"/>
      <c r="BE271" s="273"/>
      <c r="BF271" s="273"/>
      <c r="BG271" s="273"/>
      <c r="BH271" s="273"/>
      <c r="BI271" s="273"/>
      <c r="BJ271" s="273"/>
      <c r="BK271" s="273"/>
      <c r="BL271" s="273"/>
      <c r="BM271" s="273"/>
      <c r="BN271" s="273"/>
    </row>
    <row r="272" spans="1:66" s="250" customFormat="1" x14ac:dyDescent="0.25">
      <c r="A272" s="414"/>
      <c r="B272" s="454"/>
      <c r="C272" s="412"/>
      <c r="D272" s="412"/>
      <c r="E272" s="442"/>
      <c r="F272" s="442"/>
      <c r="G272" s="442"/>
      <c r="H272" s="442"/>
      <c r="I272" s="442"/>
      <c r="J272" s="442"/>
      <c r="K272" s="442"/>
      <c r="L272" s="416"/>
      <c r="M272" s="416"/>
      <c r="N272" s="416"/>
      <c r="O272" s="416"/>
      <c r="P272" s="416"/>
      <c r="Q272" s="398"/>
      <c r="R272" s="398"/>
      <c r="S272" s="398"/>
      <c r="T272" s="398"/>
      <c r="U272" s="457"/>
      <c r="V272" s="393"/>
      <c r="W272" s="392"/>
      <c r="X272" s="390"/>
      <c r="Y272" s="390"/>
      <c r="Z272" s="390"/>
      <c r="AA272" s="390"/>
      <c r="AB272" s="390"/>
      <c r="AC272" s="249"/>
      <c r="AD272" s="249"/>
      <c r="AE272" s="249"/>
      <c r="AF272" s="273"/>
      <c r="AG272" s="273"/>
      <c r="AH272" s="273"/>
      <c r="AI272" s="273"/>
      <c r="AJ272" s="273"/>
      <c r="AK272" s="273"/>
      <c r="AL272" s="273"/>
      <c r="AM272" s="273"/>
      <c r="AN272" s="273"/>
      <c r="AO272" s="273"/>
      <c r="AP272" s="273"/>
      <c r="AQ272" s="273"/>
      <c r="AR272" s="273"/>
      <c r="AS272" s="273"/>
      <c r="AT272" s="273"/>
      <c r="AU272" s="273"/>
      <c r="AV272" s="273"/>
      <c r="AW272" s="273"/>
      <c r="AX272" s="273"/>
      <c r="AY272" s="273"/>
      <c r="AZ272" s="273"/>
      <c r="BA272" s="273"/>
      <c r="BB272" s="273"/>
      <c r="BC272" s="273"/>
      <c r="BD272" s="273"/>
      <c r="BE272" s="273"/>
      <c r="BF272" s="273"/>
      <c r="BG272" s="273"/>
      <c r="BH272" s="273"/>
      <c r="BI272" s="273"/>
      <c r="BJ272" s="273"/>
      <c r="BK272" s="273"/>
      <c r="BL272" s="273"/>
      <c r="BM272" s="273"/>
      <c r="BN272" s="273"/>
    </row>
    <row r="273" spans="1:66" s="250" customFormat="1" x14ac:dyDescent="0.25">
      <c r="A273" s="414"/>
      <c r="B273" s="454"/>
      <c r="C273" s="412"/>
      <c r="D273" s="412"/>
      <c r="E273" s="442"/>
      <c r="F273" s="442"/>
      <c r="G273" s="442"/>
      <c r="H273" s="442"/>
      <c r="I273" s="442"/>
      <c r="J273" s="442"/>
      <c r="K273" s="442"/>
      <c r="L273" s="416"/>
      <c r="M273" s="416"/>
      <c r="N273" s="416"/>
      <c r="O273" s="416"/>
      <c r="P273" s="416"/>
      <c r="Q273" s="398"/>
      <c r="R273" s="398"/>
      <c r="S273" s="398"/>
      <c r="T273" s="398"/>
      <c r="U273" s="457"/>
      <c r="V273" s="393"/>
      <c r="W273" s="392"/>
      <c r="X273" s="390"/>
      <c r="Y273" s="390"/>
      <c r="Z273" s="390"/>
      <c r="AA273" s="390"/>
      <c r="AB273" s="390"/>
      <c r="AC273" s="249"/>
      <c r="AD273" s="249"/>
      <c r="AE273" s="249"/>
      <c r="AF273" s="273"/>
      <c r="AG273" s="273"/>
      <c r="AH273" s="273"/>
      <c r="AI273" s="273"/>
      <c r="AJ273" s="273"/>
      <c r="AK273" s="273"/>
      <c r="AL273" s="273"/>
      <c r="AM273" s="273"/>
      <c r="AN273" s="273"/>
      <c r="AO273" s="273"/>
      <c r="AP273" s="273"/>
      <c r="AQ273" s="273"/>
      <c r="AR273" s="273"/>
      <c r="AS273" s="273"/>
      <c r="AT273" s="273"/>
      <c r="AU273" s="273"/>
      <c r="AV273" s="273"/>
      <c r="AW273" s="273"/>
      <c r="AX273" s="273"/>
      <c r="AY273" s="273"/>
      <c r="AZ273" s="273"/>
      <c r="BA273" s="273"/>
      <c r="BB273" s="273"/>
      <c r="BC273" s="273"/>
      <c r="BD273" s="273"/>
      <c r="BE273" s="273"/>
      <c r="BF273" s="273"/>
      <c r="BG273" s="273"/>
      <c r="BH273" s="273"/>
      <c r="BI273" s="273"/>
      <c r="BJ273" s="273"/>
      <c r="BK273" s="273"/>
      <c r="BL273" s="273"/>
      <c r="BM273" s="273"/>
      <c r="BN273" s="273"/>
    </row>
    <row r="274" spans="1:66" s="250" customFormat="1" x14ac:dyDescent="0.25">
      <c r="A274" s="414"/>
      <c r="B274" s="454"/>
      <c r="C274" s="412"/>
      <c r="D274" s="412"/>
      <c r="E274" s="442"/>
      <c r="F274" s="442"/>
      <c r="G274" s="442"/>
      <c r="H274" s="442"/>
      <c r="I274" s="442"/>
      <c r="J274" s="442"/>
      <c r="K274" s="442"/>
      <c r="L274" s="416"/>
      <c r="M274" s="416"/>
      <c r="N274" s="416"/>
      <c r="O274" s="416"/>
      <c r="P274" s="416"/>
      <c r="Q274" s="398"/>
      <c r="R274" s="398"/>
      <c r="S274" s="398"/>
      <c r="T274" s="398"/>
      <c r="U274" s="457"/>
      <c r="V274" s="393"/>
      <c r="W274" s="392"/>
      <c r="X274" s="390"/>
      <c r="Y274" s="390"/>
      <c r="Z274" s="390"/>
      <c r="AA274" s="390"/>
      <c r="AB274" s="390"/>
      <c r="AC274" s="249"/>
      <c r="AD274" s="249"/>
      <c r="AE274" s="249"/>
      <c r="AF274" s="273"/>
      <c r="AG274" s="273"/>
      <c r="AH274" s="273"/>
      <c r="AI274" s="273"/>
      <c r="AJ274" s="273"/>
      <c r="AK274" s="273"/>
      <c r="AL274" s="273"/>
      <c r="AM274" s="273"/>
      <c r="AN274" s="273"/>
      <c r="AO274" s="273"/>
      <c r="AP274" s="273"/>
      <c r="AQ274" s="273"/>
      <c r="AR274" s="273"/>
      <c r="AS274" s="273"/>
      <c r="AT274" s="273"/>
      <c r="AU274" s="273"/>
      <c r="AV274" s="273"/>
      <c r="AW274" s="273"/>
      <c r="AX274" s="273"/>
      <c r="AY274" s="273"/>
      <c r="AZ274" s="273"/>
      <c r="BA274" s="273"/>
      <c r="BB274" s="273"/>
      <c r="BC274" s="273"/>
      <c r="BD274" s="273"/>
      <c r="BE274" s="273"/>
      <c r="BF274" s="273"/>
      <c r="BG274" s="273"/>
      <c r="BH274" s="273"/>
      <c r="BI274" s="273"/>
      <c r="BJ274" s="273"/>
      <c r="BK274" s="273"/>
      <c r="BL274" s="273"/>
      <c r="BM274" s="273"/>
      <c r="BN274" s="273"/>
    </row>
    <row r="275" spans="1:66" s="250" customFormat="1" x14ac:dyDescent="0.25">
      <c r="A275" s="414"/>
      <c r="B275" s="454"/>
      <c r="C275" s="412"/>
      <c r="D275" s="412"/>
      <c r="E275" s="442"/>
      <c r="F275" s="442"/>
      <c r="G275" s="442"/>
      <c r="H275" s="442"/>
      <c r="I275" s="442"/>
      <c r="J275" s="442"/>
      <c r="K275" s="442"/>
      <c r="L275" s="416"/>
      <c r="M275" s="416"/>
      <c r="N275" s="416"/>
      <c r="O275" s="416"/>
      <c r="P275" s="416"/>
      <c r="Q275" s="398"/>
      <c r="R275" s="398"/>
      <c r="S275" s="398"/>
      <c r="T275" s="398"/>
      <c r="U275" s="457"/>
      <c r="V275" s="393"/>
      <c r="W275" s="392"/>
      <c r="X275" s="390"/>
      <c r="Y275" s="390"/>
      <c r="Z275" s="390"/>
      <c r="AA275" s="390"/>
      <c r="AB275" s="390"/>
      <c r="AC275" s="249"/>
      <c r="AD275" s="249"/>
      <c r="AE275" s="249"/>
      <c r="AF275" s="273"/>
      <c r="AG275" s="273"/>
      <c r="AH275" s="273"/>
      <c r="AI275" s="273"/>
      <c r="AJ275" s="273"/>
      <c r="AK275" s="273"/>
      <c r="AL275" s="273"/>
      <c r="AM275" s="273"/>
      <c r="AN275" s="273"/>
      <c r="AO275" s="273"/>
      <c r="AP275" s="273"/>
      <c r="AQ275" s="273"/>
      <c r="AR275" s="273"/>
      <c r="AS275" s="273"/>
      <c r="AT275" s="273"/>
      <c r="AU275" s="273"/>
      <c r="AV275" s="273"/>
      <c r="AW275" s="273"/>
      <c r="AX275" s="273"/>
      <c r="AY275" s="273"/>
      <c r="AZ275" s="273"/>
      <c r="BA275" s="273"/>
      <c r="BB275" s="273"/>
      <c r="BC275" s="273"/>
      <c r="BD275" s="273"/>
      <c r="BE275" s="273"/>
      <c r="BF275" s="273"/>
      <c r="BG275" s="273"/>
      <c r="BH275" s="273"/>
      <c r="BI275" s="273"/>
      <c r="BJ275" s="273"/>
      <c r="BK275" s="273"/>
      <c r="BL275" s="273"/>
      <c r="BM275" s="273"/>
      <c r="BN275" s="273"/>
    </row>
    <row r="276" spans="1:66" s="250" customFormat="1" x14ac:dyDescent="0.25">
      <c r="A276" s="414"/>
      <c r="B276" s="454"/>
      <c r="C276" s="412"/>
      <c r="D276" s="412"/>
      <c r="E276" s="442"/>
      <c r="F276" s="442"/>
      <c r="G276" s="442"/>
      <c r="H276" s="442"/>
      <c r="I276" s="442"/>
      <c r="J276" s="442"/>
      <c r="K276" s="442"/>
      <c r="L276" s="416"/>
      <c r="M276" s="416"/>
      <c r="N276" s="416"/>
      <c r="O276" s="416"/>
      <c r="P276" s="416"/>
      <c r="Q276" s="398"/>
      <c r="R276" s="398"/>
      <c r="S276" s="398"/>
      <c r="T276" s="398"/>
      <c r="U276" s="457"/>
      <c r="V276" s="393"/>
      <c r="W276" s="392"/>
      <c r="X276" s="390"/>
      <c r="Y276" s="390"/>
      <c r="Z276" s="390"/>
      <c r="AA276" s="390"/>
      <c r="AB276" s="390"/>
      <c r="AC276" s="249"/>
      <c r="AD276" s="249"/>
      <c r="AE276" s="249"/>
      <c r="AF276" s="273"/>
      <c r="AG276" s="273"/>
      <c r="AH276" s="273"/>
      <c r="AI276" s="273"/>
      <c r="AJ276" s="273"/>
      <c r="AK276" s="273"/>
      <c r="AL276" s="273"/>
      <c r="AM276" s="273"/>
      <c r="AN276" s="273"/>
      <c r="AO276" s="273"/>
      <c r="AP276" s="273"/>
      <c r="AQ276" s="273"/>
      <c r="AR276" s="273"/>
      <c r="AS276" s="273"/>
      <c r="AT276" s="273"/>
      <c r="AU276" s="273"/>
      <c r="AV276" s="273"/>
      <c r="AW276" s="273"/>
      <c r="AX276" s="273"/>
      <c r="AY276" s="273"/>
      <c r="AZ276" s="273"/>
      <c r="BA276" s="273"/>
      <c r="BB276" s="273"/>
      <c r="BC276" s="273"/>
      <c r="BD276" s="273"/>
      <c r="BE276" s="273"/>
      <c r="BF276" s="273"/>
      <c r="BG276" s="273"/>
      <c r="BH276" s="273"/>
      <c r="BI276" s="273"/>
      <c r="BJ276" s="273"/>
      <c r="BK276" s="273"/>
      <c r="BL276" s="273"/>
      <c r="BM276" s="273"/>
      <c r="BN276" s="273"/>
    </row>
    <row r="277" spans="1:66" s="250" customFormat="1" x14ac:dyDescent="0.25">
      <c r="A277" s="414"/>
      <c r="B277" s="454"/>
      <c r="C277" s="412"/>
      <c r="D277" s="412"/>
      <c r="E277" s="442"/>
      <c r="F277" s="442"/>
      <c r="G277" s="442"/>
      <c r="H277" s="442"/>
      <c r="I277" s="442"/>
      <c r="J277" s="442"/>
      <c r="K277" s="442"/>
      <c r="L277" s="416"/>
      <c r="M277" s="416"/>
      <c r="N277" s="416"/>
      <c r="O277" s="416"/>
      <c r="P277" s="416"/>
      <c r="Q277" s="398"/>
      <c r="R277" s="398"/>
      <c r="S277" s="398"/>
      <c r="T277" s="398"/>
      <c r="U277" s="457"/>
      <c r="V277" s="393"/>
      <c r="W277" s="392"/>
      <c r="X277" s="390"/>
      <c r="Y277" s="390"/>
      <c r="Z277" s="390"/>
      <c r="AA277" s="390"/>
      <c r="AB277" s="390"/>
      <c r="AC277" s="249"/>
      <c r="AD277" s="249"/>
      <c r="AE277" s="249"/>
      <c r="AF277" s="273"/>
      <c r="AG277" s="273"/>
      <c r="AH277" s="273"/>
      <c r="AI277" s="273"/>
      <c r="AJ277" s="273"/>
      <c r="AK277" s="273"/>
      <c r="AL277" s="273"/>
      <c r="AM277" s="273"/>
      <c r="AN277" s="273"/>
      <c r="AO277" s="273"/>
      <c r="AP277" s="273"/>
      <c r="AQ277" s="273"/>
      <c r="AR277" s="273"/>
      <c r="AS277" s="273"/>
      <c r="AT277" s="273"/>
      <c r="AU277" s="273"/>
      <c r="AV277" s="273"/>
      <c r="AW277" s="273"/>
      <c r="AX277" s="273"/>
      <c r="AY277" s="273"/>
      <c r="AZ277" s="273"/>
      <c r="BA277" s="273"/>
      <c r="BB277" s="273"/>
      <c r="BC277" s="273"/>
      <c r="BD277" s="273"/>
      <c r="BE277" s="273"/>
      <c r="BF277" s="273"/>
      <c r="BG277" s="273"/>
      <c r="BH277" s="273"/>
      <c r="BI277" s="273"/>
      <c r="BJ277" s="273"/>
      <c r="BK277" s="273"/>
      <c r="BL277" s="273"/>
      <c r="BM277" s="273"/>
      <c r="BN277" s="273"/>
    </row>
    <row r="278" spans="1:66" s="250" customFormat="1" x14ac:dyDescent="0.25">
      <c r="A278" s="414"/>
      <c r="B278" s="454"/>
      <c r="C278" s="412"/>
      <c r="D278" s="412"/>
      <c r="E278" s="442"/>
      <c r="F278" s="442"/>
      <c r="G278" s="442"/>
      <c r="H278" s="442"/>
      <c r="I278" s="442"/>
      <c r="J278" s="442"/>
      <c r="K278" s="442"/>
      <c r="L278" s="416"/>
      <c r="M278" s="416"/>
      <c r="N278" s="416"/>
      <c r="O278" s="416"/>
      <c r="P278" s="416"/>
      <c r="Q278" s="398"/>
      <c r="R278" s="398"/>
      <c r="S278" s="398"/>
      <c r="T278" s="398"/>
      <c r="U278" s="457"/>
      <c r="V278" s="393"/>
      <c r="W278" s="392"/>
      <c r="X278" s="390"/>
      <c r="Y278" s="390"/>
      <c r="Z278" s="390"/>
      <c r="AA278" s="390"/>
      <c r="AB278" s="390"/>
      <c r="AC278" s="249"/>
      <c r="AD278" s="249"/>
      <c r="AE278" s="249"/>
      <c r="AF278" s="273"/>
      <c r="AG278" s="273"/>
      <c r="AH278" s="273"/>
      <c r="AI278" s="273"/>
      <c r="AJ278" s="273"/>
      <c r="AK278" s="273"/>
      <c r="AL278" s="273"/>
      <c r="AM278" s="273"/>
      <c r="AN278" s="273"/>
      <c r="AO278" s="273"/>
      <c r="AP278" s="273"/>
      <c r="AQ278" s="273"/>
      <c r="AR278" s="273"/>
      <c r="AS278" s="273"/>
      <c r="AT278" s="273"/>
      <c r="AU278" s="273"/>
      <c r="AV278" s="273"/>
      <c r="AW278" s="273"/>
      <c r="AX278" s="273"/>
      <c r="AY278" s="273"/>
      <c r="AZ278" s="273"/>
      <c r="BA278" s="273"/>
      <c r="BB278" s="273"/>
      <c r="BC278" s="273"/>
      <c r="BD278" s="273"/>
      <c r="BE278" s="273"/>
      <c r="BF278" s="273"/>
      <c r="BG278" s="273"/>
      <c r="BH278" s="273"/>
      <c r="BI278" s="273"/>
      <c r="BJ278" s="273"/>
      <c r="BK278" s="273"/>
      <c r="BL278" s="273"/>
      <c r="BM278" s="273"/>
      <c r="BN278" s="273"/>
    </row>
    <row r="279" spans="1:66" s="250" customFormat="1" x14ac:dyDescent="0.25">
      <c r="A279" s="414"/>
      <c r="B279" s="454"/>
      <c r="C279" s="412"/>
      <c r="D279" s="412"/>
      <c r="E279" s="442"/>
      <c r="F279" s="442"/>
      <c r="G279" s="442"/>
      <c r="H279" s="442"/>
      <c r="I279" s="442"/>
      <c r="J279" s="442"/>
      <c r="K279" s="442"/>
      <c r="L279" s="416"/>
      <c r="M279" s="416"/>
      <c r="N279" s="416"/>
      <c r="O279" s="416"/>
      <c r="P279" s="416"/>
      <c r="Q279" s="398"/>
      <c r="R279" s="398"/>
      <c r="S279" s="398"/>
      <c r="T279" s="398"/>
      <c r="U279" s="457"/>
      <c r="V279" s="393"/>
      <c r="W279" s="392"/>
      <c r="X279" s="390"/>
      <c r="Y279" s="390"/>
      <c r="Z279" s="390"/>
      <c r="AA279" s="390"/>
      <c r="AB279" s="390"/>
      <c r="AC279" s="249"/>
      <c r="AD279" s="249"/>
      <c r="AE279" s="249"/>
      <c r="AF279" s="273"/>
      <c r="AG279" s="273"/>
      <c r="AH279" s="273"/>
      <c r="AI279" s="273"/>
      <c r="AJ279" s="273"/>
      <c r="AK279" s="273"/>
      <c r="AL279" s="273"/>
      <c r="AM279" s="273"/>
      <c r="AN279" s="273"/>
      <c r="AO279" s="273"/>
      <c r="AP279" s="273"/>
      <c r="AQ279" s="273"/>
      <c r="AR279" s="273"/>
      <c r="AS279" s="273"/>
      <c r="AT279" s="273"/>
      <c r="AU279" s="273"/>
      <c r="AV279" s="273"/>
      <c r="AW279" s="273"/>
      <c r="AX279" s="273"/>
      <c r="AY279" s="273"/>
      <c r="AZ279" s="273"/>
      <c r="BA279" s="273"/>
      <c r="BB279" s="273"/>
      <c r="BC279" s="273"/>
      <c r="BD279" s="273"/>
      <c r="BE279" s="273"/>
      <c r="BF279" s="273"/>
      <c r="BG279" s="273"/>
      <c r="BH279" s="273"/>
      <c r="BI279" s="273"/>
      <c r="BJ279" s="273"/>
      <c r="BK279" s="273"/>
      <c r="BL279" s="273"/>
      <c r="BM279" s="273"/>
      <c r="BN279" s="273"/>
    </row>
    <row r="280" spans="1:66" s="250" customFormat="1" x14ac:dyDescent="0.25">
      <c r="A280" s="414"/>
      <c r="B280" s="454"/>
      <c r="C280" s="412"/>
      <c r="D280" s="412"/>
      <c r="E280" s="442"/>
      <c r="F280" s="442"/>
      <c r="G280" s="442"/>
      <c r="H280" s="442"/>
      <c r="I280" s="442"/>
      <c r="J280" s="442"/>
      <c r="K280" s="442"/>
      <c r="L280" s="416"/>
      <c r="M280" s="416"/>
      <c r="N280" s="416"/>
      <c r="O280" s="416"/>
      <c r="P280" s="416"/>
      <c r="Q280" s="398"/>
      <c r="R280" s="398"/>
      <c r="S280" s="398"/>
      <c r="T280" s="398"/>
      <c r="U280" s="457"/>
      <c r="V280" s="393"/>
      <c r="W280" s="392"/>
      <c r="X280" s="390"/>
      <c r="Y280" s="390"/>
      <c r="Z280" s="390"/>
      <c r="AA280" s="390"/>
      <c r="AB280" s="390"/>
      <c r="AC280" s="249"/>
      <c r="AD280" s="249"/>
      <c r="AE280" s="249"/>
      <c r="AF280" s="273"/>
      <c r="AG280" s="273"/>
      <c r="AH280" s="273"/>
      <c r="AI280" s="273"/>
      <c r="AJ280" s="273"/>
      <c r="AK280" s="273"/>
      <c r="AL280" s="273"/>
      <c r="AM280" s="273"/>
      <c r="AN280" s="273"/>
      <c r="AO280" s="273"/>
      <c r="AP280" s="273"/>
      <c r="AQ280" s="273"/>
      <c r="AR280" s="273"/>
      <c r="AS280" s="273"/>
      <c r="AT280" s="273"/>
      <c r="AU280" s="273"/>
      <c r="AV280" s="273"/>
      <c r="AW280" s="273"/>
      <c r="AX280" s="273"/>
      <c r="AY280" s="273"/>
      <c r="AZ280" s="273"/>
      <c r="BA280" s="273"/>
      <c r="BB280" s="273"/>
      <c r="BC280" s="273"/>
      <c r="BD280" s="273"/>
      <c r="BE280" s="273"/>
      <c r="BF280" s="273"/>
      <c r="BG280" s="273"/>
      <c r="BH280" s="273"/>
      <c r="BI280" s="273"/>
      <c r="BJ280" s="273"/>
      <c r="BK280" s="273"/>
      <c r="BL280" s="273"/>
      <c r="BM280" s="273"/>
      <c r="BN280" s="273"/>
    </row>
    <row r="281" spans="1:66" s="250" customFormat="1" x14ac:dyDescent="0.25">
      <c r="A281" s="414"/>
      <c r="B281" s="454"/>
      <c r="C281" s="412"/>
      <c r="D281" s="412"/>
      <c r="E281" s="442"/>
      <c r="F281" s="442"/>
      <c r="G281" s="442"/>
      <c r="H281" s="442"/>
      <c r="I281" s="442"/>
      <c r="J281" s="442"/>
      <c r="K281" s="442"/>
      <c r="L281" s="416"/>
      <c r="M281" s="416"/>
      <c r="N281" s="416"/>
      <c r="O281" s="416"/>
      <c r="P281" s="416"/>
      <c r="Q281" s="398"/>
      <c r="R281" s="398"/>
      <c r="S281" s="398"/>
      <c r="T281" s="398"/>
      <c r="U281" s="457"/>
      <c r="V281" s="393"/>
      <c r="W281" s="392"/>
      <c r="X281" s="390"/>
      <c r="Y281" s="390"/>
      <c r="Z281" s="390"/>
      <c r="AA281" s="390"/>
      <c r="AB281" s="390"/>
      <c r="AC281" s="249"/>
      <c r="AD281" s="249"/>
      <c r="AE281" s="249"/>
      <c r="AF281" s="273"/>
      <c r="AG281" s="273"/>
      <c r="AH281" s="273"/>
      <c r="AI281" s="273"/>
      <c r="AJ281" s="273"/>
      <c r="AK281" s="273"/>
      <c r="AL281" s="273"/>
      <c r="AM281" s="273"/>
      <c r="AN281" s="273"/>
      <c r="AO281" s="273"/>
      <c r="AP281" s="273"/>
      <c r="AQ281" s="273"/>
      <c r="AR281" s="273"/>
      <c r="AS281" s="273"/>
      <c r="AT281" s="273"/>
      <c r="AU281" s="273"/>
      <c r="AV281" s="273"/>
      <c r="AW281" s="273"/>
      <c r="AX281" s="273"/>
      <c r="AY281" s="273"/>
      <c r="AZ281" s="273"/>
      <c r="BA281" s="273"/>
      <c r="BB281" s="273"/>
      <c r="BC281" s="273"/>
      <c r="BD281" s="273"/>
      <c r="BE281" s="273"/>
      <c r="BF281" s="273"/>
      <c r="BG281" s="273"/>
      <c r="BH281" s="273"/>
      <c r="BI281" s="273"/>
      <c r="BJ281" s="273"/>
      <c r="BK281" s="273"/>
      <c r="BL281" s="273"/>
      <c r="BM281" s="273"/>
      <c r="BN281" s="273"/>
    </row>
    <row r="282" spans="1:66" s="250" customFormat="1" x14ac:dyDescent="0.25">
      <c r="A282" s="414"/>
      <c r="B282" s="454"/>
      <c r="C282" s="412"/>
      <c r="D282" s="412"/>
      <c r="E282" s="442"/>
      <c r="F282" s="442"/>
      <c r="G282" s="442"/>
      <c r="H282" s="442"/>
      <c r="I282" s="442"/>
      <c r="J282" s="442"/>
      <c r="K282" s="442"/>
      <c r="L282" s="416"/>
      <c r="M282" s="416"/>
      <c r="N282" s="416"/>
      <c r="O282" s="416"/>
      <c r="P282" s="416"/>
      <c r="Q282" s="398"/>
      <c r="R282" s="398"/>
      <c r="S282" s="398"/>
      <c r="T282" s="398"/>
      <c r="U282" s="457"/>
      <c r="V282" s="393"/>
      <c r="W282" s="392"/>
      <c r="X282" s="390"/>
      <c r="Y282" s="390"/>
      <c r="Z282" s="390"/>
      <c r="AA282" s="390"/>
      <c r="AB282" s="390"/>
      <c r="AC282" s="249"/>
      <c r="AD282" s="249"/>
      <c r="AE282" s="249"/>
      <c r="AF282" s="273"/>
      <c r="AG282" s="273"/>
      <c r="AH282" s="273"/>
      <c r="AI282" s="273"/>
      <c r="AJ282" s="273"/>
      <c r="AK282" s="273"/>
      <c r="AL282" s="273"/>
      <c r="AM282" s="273"/>
      <c r="AN282" s="273"/>
      <c r="AO282" s="273"/>
      <c r="AP282" s="273"/>
      <c r="AQ282" s="273"/>
      <c r="AR282" s="273"/>
      <c r="AS282" s="273"/>
      <c r="AT282" s="273"/>
      <c r="AU282" s="273"/>
      <c r="AV282" s="273"/>
      <c r="AW282" s="273"/>
      <c r="AX282" s="273"/>
      <c r="AY282" s="273"/>
      <c r="AZ282" s="273"/>
      <c r="BA282" s="273"/>
      <c r="BB282" s="273"/>
      <c r="BC282" s="273"/>
      <c r="BD282" s="273"/>
      <c r="BE282" s="273"/>
      <c r="BF282" s="273"/>
      <c r="BG282" s="273"/>
      <c r="BH282" s="273"/>
      <c r="BI282" s="273"/>
      <c r="BJ282" s="273"/>
      <c r="BK282" s="273"/>
      <c r="BL282" s="273"/>
      <c r="BM282" s="273"/>
      <c r="BN282" s="273"/>
    </row>
    <row r="283" spans="1:66" s="250" customFormat="1" x14ac:dyDescent="0.25">
      <c r="A283" s="414"/>
      <c r="B283" s="454"/>
      <c r="C283" s="412"/>
      <c r="D283" s="412"/>
      <c r="E283" s="442"/>
      <c r="F283" s="442"/>
      <c r="G283" s="442"/>
      <c r="H283" s="442"/>
      <c r="I283" s="442"/>
      <c r="J283" s="442"/>
      <c r="K283" s="442"/>
      <c r="L283" s="416"/>
      <c r="M283" s="416"/>
      <c r="N283" s="416"/>
      <c r="O283" s="416"/>
      <c r="P283" s="416"/>
      <c r="Q283" s="398"/>
      <c r="R283" s="398"/>
      <c r="S283" s="398"/>
      <c r="T283" s="398"/>
      <c r="U283" s="457"/>
      <c r="V283" s="393"/>
      <c r="W283" s="392"/>
      <c r="X283" s="390"/>
      <c r="Y283" s="390"/>
      <c r="Z283" s="390"/>
      <c r="AA283" s="390"/>
      <c r="AB283" s="390"/>
      <c r="AC283" s="249"/>
      <c r="AD283" s="249"/>
      <c r="AE283" s="249"/>
      <c r="AF283" s="273"/>
      <c r="AG283" s="273"/>
      <c r="AH283" s="273"/>
      <c r="AI283" s="273"/>
      <c r="AJ283" s="273"/>
      <c r="AK283" s="273"/>
      <c r="AL283" s="273"/>
      <c r="AM283" s="273"/>
      <c r="AN283" s="273"/>
      <c r="AO283" s="273"/>
      <c r="AP283" s="273"/>
      <c r="AQ283" s="273"/>
      <c r="AR283" s="273"/>
      <c r="AS283" s="273"/>
      <c r="AT283" s="273"/>
      <c r="AU283" s="273"/>
      <c r="AV283" s="273"/>
      <c r="AW283" s="273"/>
      <c r="AX283" s="273"/>
      <c r="AY283" s="273"/>
      <c r="AZ283" s="273"/>
      <c r="BA283" s="273"/>
      <c r="BB283" s="273"/>
      <c r="BC283" s="273"/>
      <c r="BD283" s="273"/>
      <c r="BE283" s="273"/>
      <c r="BF283" s="273"/>
      <c r="BG283" s="273"/>
      <c r="BH283" s="273"/>
      <c r="BI283" s="273"/>
      <c r="BJ283" s="273"/>
      <c r="BK283" s="273"/>
      <c r="BL283" s="273"/>
      <c r="BM283" s="273"/>
      <c r="BN283" s="273"/>
    </row>
    <row r="284" spans="1:66" s="250" customFormat="1" x14ac:dyDescent="0.25">
      <c r="A284" s="414"/>
      <c r="B284" s="454"/>
      <c r="C284" s="412"/>
      <c r="D284" s="412"/>
      <c r="E284" s="442"/>
      <c r="F284" s="442"/>
      <c r="G284" s="442"/>
      <c r="H284" s="442"/>
      <c r="I284" s="442"/>
      <c r="J284" s="442"/>
      <c r="K284" s="442"/>
      <c r="L284" s="416"/>
      <c r="M284" s="416"/>
      <c r="N284" s="416"/>
      <c r="O284" s="416"/>
      <c r="P284" s="416"/>
      <c r="Q284" s="398"/>
      <c r="R284" s="398"/>
      <c r="S284" s="398"/>
      <c r="T284" s="398"/>
      <c r="U284" s="457"/>
      <c r="V284" s="393"/>
      <c r="W284" s="392"/>
      <c r="X284" s="390"/>
      <c r="Y284" s="390"/>
      <c r="Z284" s="390"/>
      <c r="AA284" s="390"/>
      <c r="AB284" s="390"/>
      <c r="AC284" s="249"/>
      <c r="AD284" s="249"/>
      <c r="AE284" s="249"/>
      <c r="AF284" s="273"/>
      <c r="AG284" s="273"/>
      <c r="AH284" s="273"/>
      <c r="AI284" s="273"/>
      <c r="AJ284" s="273"/>
      <c r="AK284" s="273"/>
      <c r="AL284" s="273"/>
      <c r="AM284" s="273"/>
      <c r="AN284" s="273"/>
      <c r="AO284" s="273"/>
      <c r="AP284" s="273"/>
      <c r="AQ284" s="273"/>
      <c r="AR284" s="273"/>
      <c r="AS284" s="273"/>
      <c r="AT284" s="273"/>
      <c r="AU284" s="273"/>
      <c r="AV284" s="273"/>
      <c r="AW284" s="273"/>
      <c r="AX284" s="273"/>
      <c r="AY284" s="273"/>
      <c r="AZ284" s="273"/>
      <c r="BA284" s="273"/>
      <c r="BB284" s="273"/>
      <c r="BC284" s="273"/>
      <c r="BD284" s="273"/>
      <c r="BE284" s="273"/>
      <c r="BF284" s="273"/>
      <c r="BG284" s="273"/>
      <c r="BH284" s="273"/>
      <c r="BI284" s="273"/>
      <c r="BJ284" s="273"/>
      <c r="BK284" s="273"/>
      <c r="BL284" s="273"/>
      <c r="BM284" s="273"/>
      <c r="BN284" s="273"/>
    </row>
    <row r="285" spans="1:66" s="250" customFormat="1" x14ac:dyDescent="0.25">
      <c r="A285" s="414"/>
      <c r="B285" s="454"/>
      <c r="C285" s="412"/>
      <c r="D285" s="412"/>
      <c r="E285" s="442"/>
      <c r="F285" s="442"/>
      <c r="G285" s="442"/>
      <c r="H285" s="442"/>
      <c r="I285" s="442"/>
      <c r="J285" s="442"/>
      <c r="K285" s="442"/>
      <c r="L285" s="416"/>
      <c r="M285" s="416"/>
      <c r="N285" s="416"/>
      <c r="O285" s="416"/>
      <c r="P285" s="416"/>
      <c r="Q285" s="398"/>
      <c r="R285" s="398"/>
      <c r="S285" s="398"/>
      <c r="T285" s="398"/>
      <c r="U285" s="457"/>
      <c r="V285" s="393"/>
      <c r="W285" s="392"/>
      <c r="X285" s="390"/>
      <c r="Y285" s="390"/>
      <c r="Z285" s="390"/>
      <c r="AA285" s="390"/>
      <c r="AB285" s="390"/>
      <c r="AC285" s="249"/>
      <c r="AD285" s="249"/>
      <c r="AE285" s="249"/>
      <c r="AF285" s="273"/>
      <c r="AG285" s="273"/>
      <c r="AH285" s="273"/>
      <c r="AI285" s="273"/>
      <c r="AJ285" s="273"/>
      <c r="AK285" s="273"/>
      <c r="AL285" s="273"/>
      <c r="AM285" s="273"/>
      <c r="AN285" s="273"/>
      <c r="AO285" s="273"/>
      <c r="AP285" s="273"/>
      <c r="AQ285" s="273"/>
      <c r="AR285" s="273"/>
      <c r="AS285" s="273"/>
      <c r="AT285" s="273"/>
      <c r="AU285" s="273"/>
      <c r="AV285" s="273"/>
      <c r="AW285" s="273"/>
      <c r="AX285" s="273"/>
      <c r="AY285" s="273"/>
      <c r="AZ285" s="273"/>
      <c r="BA285" s="273"/>
      <c r="BB285" s="273"/>
      <c r="BC285" s="273"/>
      <c r="BD285" s="273"/>
      <c r="BE285" s="273"/>
      <c r="BF285" s="273"/>
      <c r="BG285" s="273"/>
      <c r="BH285" s="273"/>
      <c r="BI285" s="273"/>
      <c r="BJ285" s="273"/>
      <c r="BK285" s="273"/>
      <c r="BL285" s="273"/>
      <c r="BM285" s="273"/>
      <c r="BN285" s="273"/>
    </row>
    <row r="286" spans="1:66" s="250" customFormat="1" x14ac:dyDescent="0.25">
      <c r="A286" s="414"/>
      <c r="B286" s="454"/>
      <c r="C286" s="412"/>
      <c r="D286" s="412"/>
      <c r="E286" s="442"/>
      <c r="F286" s="442"/>
      <c r="G286" s="442"/>
      <c r="H286" s="442"/>
      <c r="I286" s="442"/>
      <c r="J286" s="442"/>
      <c r="K286" s="442"/>
      <c r="L286" s="416"/>
      <c r="M286" s="416"/>
      <c r="N286" s="416"/>
      <c r="O286" s="416"/>
      <c r="P286" s="416"/>
      <c r="Q286" s="398"/>
      <c r="R286" s="398"/>
      <c r="S286" s="398"/>
      <c r="T286" s="398"/>
      <c r="U286" s="457"/>
      <c r="V286" s="393"/>
      <c r="W286" s="392"/>
      <c r="X286" s="390"/>
      <c r="Y286" s="390"/>
      <c r="Z286" s="390"/>
      <c r="AA286" s="390"/>
      <c r="AB286" s="390"/>
      <c r="AC286" s="249"/>
      <c r="AD286" s="249"/>
      <c r="AE286" s="249"/>
      <c r="AF286" s="273"/>
      <c r="AG286" s="273"/>
      <c r="AH286" s="273"/>
      <c r="AI286" s="273"/>
      <c r="AJ286" s="273"/>
      <c r="AK286" s="273"/>
      <c r="AL286" s="273"/>
      <c r="AM286" s="273"/>
      <c r="AN286" s="273"/>
      <c r="AO286" s="273"/>
      <c r="AP286" s="273"/>
      <c r="AQ286" s="273"/>
      <c r="AR286" s="273"/>
      <c r="AS286" s="273"/>
      <c r="AT286" s="273"/>
      <c r="AU286" s="273"/>
      <c r="AV286" s="273"/>
      <c r="AW286" s="273"/>
      <c r="AX286" s="273"/>
      <c r="AY286" s="273"/>
      <c r="AZ286" s="273"/>
      <c r="BA286" s="273"/>
      <c r="BB286" s="273"/>
      <c r="BC286" s="273"/>
      <c r="BD286" s="273"/>
      <c r="BE286" s="273"/>
      <c r="BF286" s="273"/>
      <c r="BG286" s="273"/>
      <c r="BH286" s="273"/>
      <c r="BI286" s="273"/>
      <c r="BJ286" s="273"/>
      <c r="BK286" s="273"/>
      <c r="BL286" s="273"/>
      <c r="BM286" s="273"/>
      <c r="BN286" s="273"/>
    </row>
    <row r="287" spans="1:66" s="250" customFormat="1" x14ac:dyDescent="0.25">
      <c r="A287" s="414"/>
      <c r="B287" s="454"/>
      <c r="C287" s="412"/>
      <c r="D287" s="412"/>
      <c r="E287" s="442"/>
      <c r="F287" s="442"/>
      <c r="G287" s="442"/>
      <c r="H287" s="442"/>
      <c r="I287" s="442"/>
      <c r="J287" s="442"/>
      <c r="K287" s="442"/>
      <c r="L287" s="416"/>
      <c r="M287" s="416"/>
      <c r="N287" s="416"/>
      <c r="O287" s="416"/>
      <c r="P287" s="416"/>
      <c r="Q287" s="398"/>
      <c r="R287" s="398"/>
      <c r="S287" s="398"/>
      <c r="T287" s="398"/>
      <c r="U287" s="457"/>
      <c r="V287" s="393"/>
      <c r="W287" s="392"/>
      <c r="X287" s="390"/>
      <c r="Y287" s="390"/>
      <c r="Z287" s="390"/>
      <c r="AA287" s="390"/>
      <c r="AB287" s="390"/>
      <c r="AC287" s="249"/>
      <c r="AD287" s="249"/>
      <c r="AE287" s="249"/>
      <c r="AF287" s="273"/>
      <c r="AG287" s="273"/>
      <c r="AH287" s="273"/>
      <c r="AI287" s="273"/>
      <c r="AJ287" s="273"/>
      <c r="AK287" s="273"/>
      <c r="AL287" s="273"/>
      <c r="AM287" s="273"/>
      <c r="AN287" s="273"/>
      <c r="AO287" s="273"/>
      <c r="AP287" s="273"/>
      <c r="AQ287" s="273"/>
      <c r="AR287" s="273"/>
      <c r="AS287" s="273"/>
      <c r="AT287" s="273"/>
      <c r="AU287" s="273"/>
      <c r="AV287" s="273"/>
      <c r="AW287" s="273"/>
      <c r="AX287" s="273"/>
      <c r="AY287" s="273"/>
      <c r="AZ287" s="273"/>
      <c r="BA287" s="273"/>
      <c r="BB287" s="273"/>
      <c r="BC287" s="273"/>
      <c r="BD287" s="273"/>
      <c r="BE287" s="273"/>
      <c r="BF287" s="273"/>
      <c r="BG287" s="273"/>
      <c r="BH287" s="273"/>
      <c r="BI287" s="273"/>
      <c r="BJ287" s="273"/>
      <c r="BK287" s="273"/>
      <c r="BL287" s="273"/>
      <c r="BM287" s="273"/>
      <c r="BN287" s="273"/>
    </row>
    <row r="288" spans="1:66" s="250" customFormat="1" x14ac:dyDescent="0.25">
      <c r="A288" s="414"/>
      <c r="B288" s="454"/>
      <c r="C288" s="412"/>
      <c r="D288" s="412"/>
      <c r="E288" s="442"/>
      <c r="F288" s="442"/>
      <c r="G288" s="442"/>
      <c r="H288" s="442"/>
      <c r="I288" s="442"/>
      <c r="J288" s="442"/>
      <c r="K288" s="442"/>
      <c r="L288" s="416"/>
      <c r="M288" s="416"/>
      <c r="N288" s="416"/>
      <c r="O288" s="416"/>
      <c r="P288" s="416"/>
      <c r="Q288" s="398"/>
      <c r="R288" s="398"/>
      <c r="S288" s="398"/>
      <c r="T288" s="398"/>
      <c r="U288" s="457"/>
      <c r="V288" s="393"/>
      <c r="W288" s="392"/>
      <c r="X288" s="390"/>
      <c r="Y288" s="390"/>
      <c r="Z288" s="390"/>
      <c r="AA288" s="390"/>
      <c r="AB288" s="390"/>
      <c r="AC288" s="249"/>
      <c r="AD288" s="249"/>
      <c r="AE288" s="249"/>
      <c r="AF288" s="273"/>
      <c r="AG288" s="273"/>
      <c r="AH288" s="273"/>
      <c r="AI288" s="273"/>
      <c r="AJ288" s="273"/>
      <c r="AK288" s="273"/>
      <c r="AL288" s="273"/>
      <c r="AM288" s="273"/>
      <c r="AN288" s="273"/>
      <c r="AO288" s="273"/>
      <c r="AP288" s="273"/>
      <c r="AQ288" s="273"/>
      <c r="AR288" s="273"/>
      <c r="AS288" s="273"/>
      <c r="AT288" s="273"/>
      <c r="AU288" s="273"/>
      <c r="AV288" s="273"/>
      <c r="AW288" s="273"/>
      <c r="AX288" s="273"/>
      <c r="AY288" s="273"/>
      <c r="AZ288" s="273"/>
      <c r="BA288" s="273"/>
      <c r="BB288" s="273"/>
      <c r="BC288" s="273"/>
      <c r="BD288" s="273"/>
      <c r="BE288" s="273"/>
      <c r="BF288" s="273"/>
      <c r="BG288" s="273"/>
      <c r="BH288" s="273"/>
      <c r="BI288" s="273"/>
      <c r="BJ288" s="273"/>
      <c r="BK288" s="273"/>
      <c r="BL288" s="273"/>
      <c r="BM288" s="273"/>
      <c r="BN288" s="273"/>
    </row>
    <row r="289" spans="1:66" s="250" customFormat="1" x14ac:dyDescent="0.25">
      <c r="A289" s="414"/>
      <c r="B289" s="454"/>
      <c r="C289" s="412"/>
      <c r="D289" s="412"/>
      <c r="E289" s="442"/>
      <c r="F289" s="442"/>
      <c r="G289" s="442"/>
      <c r="H289" s="442"/>
      <c r="I289" s="442"/>
      <c r="J289" s="442"/>
      <c r="K289" s="442"/>
      <c r="L289" s="416"/>
      <c r="M289" s="416"/>
      <c r="N289" s="416"/>
      <c r="O289" s="416"/>
      <c r="P289" s="416"/>
      <c r="Q289" s="398"/>
      <c r="R289" s="398"/>
      <c r="S289" s="398"/>
      <c r="T289" s="398"/>
      <c r="U289" s="457"/>
      <c r="V289" s="393"/>
      <c r="W289" s="392"/>
      <c r="X289" s="390"/>
      <c r="Y289" s="390"/>
      <c r="Z289" s="390"/>
      <c r="AA289" s="390"/>
      <c r="AB289" s="390"/>
      <c r="AC289" s="249"/>
      <c r="AD289" s="249"/>
      <c r="AE289" s="249"/>
      <c r="AF289" s="273"/>
      <c r="AG289" s="273"/>
      <c r="AH289" s="273"/>
      <c r="AI289" s="273"/>
      <c r="AJ289" s="273"/>
      <c r="AK289" s="273"/>
      <c r="AL289" s="273"/>
      <c r="AM289" s="273"/>
      <c r="AN289" s="273"/>
      <c r="AO289" s="273"/>
      <c r="AP289" s="273"/>
      <c r="AQ289" s="273"/>
      <c r="AR289" s="273"/>
      <c r="AS289" s="273"/>
      <c r="AT289" s="273"/>
      <c r="AU289" s="273"/>
      <c r="AV289" s="273"/>
      <c r="AW289" s="273"/>
      <c r="AX289" s="273"/>
      <c r="AY289" s="273"/>
      <c r="AZ289" s="273"/>
      <c r="BA289" s="273"/>
      <c r="BB289" s="273"/>
      <c r="BC289" s="273"/>
      <c r="BD289" s="273"/>
      <c r="BE289" s="273"/>
      <c r="BF289" s="273"/>
      <c r="BG289" s="273"/>
      <c r="BH289" s="273"/>
      <c r="BI289" s="273"/>
      <c r="BJ289" s="273"/>
      <c r="BK289" s="273"/>
      <c r="BL289" s="273"/>
      <c r="BM289" s="273"/>
      <c r="BN289" s="273"/>
    </row>
    <row r="290" spans="1:66" s="250" customFormat="1" x14ac:dyDescent="0.25">
      <c r="A290" s="414"/>
      <c r="B290" s="454"/>
      <c r="C290" s="412"/>
      <c r="D290" s="412"/>
      <c r="E290" s="442"/>
      <c r="F290" s="442"/>
      <c r="G290" s="442"/>
      <c r="H290" s="442"/>
      <c r="I290" s="442"/>
      <c r="J290" s="442"/>
      <c r="K290" s="442"/>
      <c r="L290" s="416"/>
      <c r="M290" s="416"/>
      <c r="N290" s="416"/>
      <c r="O290" s="416"/>
      <c r="P290" s="416"/>
      <c r="Q290" s="398"/>
      <c r="R290" s="398"/>
      <c r="S290" s="398"/>
      <c r="T290" s="398"/>
      <c r="U290" s="457"/>
      <c r="V290" s="393"/>
      <c r="W290" s="392"/>
      <c r="X290" s="390"/>
      <c r="Y290" s="390"/>
      <c r="Z290" s="390"/>
      <c r="AA290" s="390"/>
      <c r="AB290" s="390"/>
      <c r="AC290" s="249"/>
      <c r="AD290" s="249"/>
      <c r="AE290" s="249"/>
      <c r="AF290" s="273"/>
      <c r="AG290" s="273"/>
      <c r="AH290" s="273"/>
      <c r="AI290" s="273"/>
      <c r="AJ290" s="273"/>
      <c r="AK290" s="273"/>
      <c r="AL290" s="273"/>
      <c r="AM290" s="273"/>
      <c r="AN290" s="273"/>
      <c r="AO290" s="273"/>
      <c r="AP290" s="273"/>
      <c r="AQ290" s="273"/>
      <c r="AR290" s="273"/>
      <c r="AS290" s="273"/>
      <c r="AT290" s="273"/>
      <c r="AU290" s="273"/>
      <c r="AV290" s="273"/>
      <c r="AW290" s="273"/>
      <c r="AX290" s="273"/>
      <c r="AY290" s="273"/>
      <c r="AZ290" s="273"/>
      <c r="BA290" s="273"/>
      <c r="BB290" s="273"/>
      <c r="BC290" s="273"/>
      <c r="BD290" s="273"/>
      <c r="BE290" s="273"/>
      <c r="BF290" s="273"/>
      <c r="BG290" s="273"/>
      <c r="BH290" s="273"/>
      <c r="BI290" s="273"/>
      <c r="BJ290" s="273"/>
      <c r="BK290" s="273"/>
      <c r="BL290" s="273"/>
      <c r="BM290" s="273"/>
      <c r="BN290" s="273"/>
    </row>
    <row r="291" spans="1:66" s="250" customFormat="1" x14ac:dyDescent="0.25">
      <c r="A291" s="414"/>
      <c r="B291" s="454"/>
      <c r="C291" s="412"/>
      <c r="D291" s="412"/>
      <c r="E291" s="442"/>
      <c r="F291" s="442"/>
      <c r="G291" s="442"/>
      <c r="H291" s="442"/>
      <c r="I291" s="442"/>
      <c r="J291" s="442"/>
      <c r="K291" s="442"/>
      <c r="L291" s="416"/>
      <c r="M291" s="416"/>
      <c r="N291" s="416"/>
      <c r="O291" s="416"/>
      <c r="P291" s="416"/>
      <c r="Q291" s="398"/>
      <c r="R291" s="398"/>
      <c r="S291" s="398"/>
      <c r="T291" s="398"/>
      <c r="U291" s="457"/>
      <c r="V291" s="393"/>
      <c r="W291" s="392"/>
      <c r="X291" s="390"/>
      <c r="Y291" s="390"/>
      <c r="Z291" s="390"/>
      <c r="AA291" s="390"/>
      <c r="AB291" s="390"/>
      <c r="AC291" s="249"/>
      <c r="AD291" s="249"/>
      <c r="AE291" s="249"/>
      <c r="AF291" s="273"/>
      <c r="AG291" s="273"/>
      <c r="AH291" s="273"/>
      <c r="AI291" s="273"/>
      <c r="AJ291" s="273"/>
      <c r="AK291" s="273"/>
      <c r="AL291" s="273"/>
      <c r="AM291" s="273"/>
      <c r="AN291" s="273"/>
      <c r="AO291" s="273"/>
      <c r="AP291" s="273"/>
      <c r="AQ291" s="273"/>
      <c r="AR291" s="273"/>
      <c r="AS291" s="273"/>
      <c r="AT291" s="273"/>
      <c r="AU291" s="273"/>
      <c r="AV291" s="273"/>
      <c r="AW291" s="273"/>
      <c r="AX291" s="273"/>
      <c r="AY291" s="273"/>
      <c r="AZ291" s="273"/>
      <c r="BA291" s="273"/>
      <c r="BB291" s="273"/>
      <c r="BC291" s="273"/>
      <c r="BD291" s="273"/>
      <c r="BE291" s="273"/>
      <c r="BF291" s="273"/>
      <c r="BG291" s="273"/>
      <c r="BH291" s="273"/>
      <c r="BI291" s="273"/>
      <c r="BJ291" s="273"/>
      <c r="BK291" s="273"/>
      <c r="BL291" s="273"/>
      <c r="BM291" s="273"/>
      <c r="BN291" s="273"/>
    </row>
    <row r="292" spans="1:66" s="250" customFormat="1" x14ac:dyDescent="0.25">
      <c r="A292" s="414"/>
      <c r="B292" s="454"/>
      <c r="C292" s="412"/>
      <c r="D292" s="412"/>
      <c r="E292" s="442"/>
      <c r="F292" s="442"/>
      <c r="G292" s="442"/>
      <c r="H292" s="442"/>
      <c r="I292" s="442"/>
      <c r="J292" s="442"/>
      <c r="K292" s="442"/>
      <c r="L292" s="416"/>
      <c r="M292" s="416"/>
      <c r="N292" s="416"/>
      <c r="O292" s="416"/>
      <c r="P292" s="416"/>
      <c r="Q292" s="398"/>
      <c r="R292" s="398"/>
      <c r="S292" s="398"/>
      <c r="T292" s="398"/>
      <c r="U292" s="457"/>
      <c r="V292" s="393"/>
      <c r="W292" s="392"/>
      <c r="X292" s="390"/>
      <c r="Y292" s="390"/>
      <c r="Z292" s="390"/>
      <c r="AA292" s="390"/>
      <c r="AB292" s="390"/>
      <c r="AC292" s="249"/>
      <c r="AD292" s="249"/>
      <c r="AE292" s="249"/>
      <c r="AF292" s="273"/>
      <c r="AG292" s="273"/>
      <c r="AH292" s="273"/>
      <c r="AI292" s="273"/>
      <c r="AJ292" s="273"/>
      <c r="AK292" s="273"/>
      <c r="AL292" s="273"/>
      <c r="AM292" s="273"/>
      <c r="AN292" s="273"/>
      <c r="AO292" s="273"/>
      <c r="AP292" s="273"/>
      <c r="AQ292" s="273"/>
      <c r="AR292" s="273"/>
      <c r="AS292" s="273"/>
      <c r="AT292" s="273"/>
      <c r="AU292" s="273"/>
      <c r="AV292" s="273"/>
      <c r="AW292" s="273"/>
      <c r="AX292" s="273"/>
      <c r="AY292" s="273"/>
      <c r="AZ292" s="273"/>
      <c r="BA292" s="273"/>
      <c r="BB292" s="273"/>
      <c r="BC292" s="273"/>
      <c r="BD292" s="273"/>
      <c r="BE292" s="273"/>
      <c r="BF292" s="273"/>
      <c r="BG292" s="273"/>
      <c r="BH292" s="273"/>
      <c r="BI292" s="273"/>
      <c r="BJ292" s="273"/>
      <c r="BK292" s="273"/>
      <c r="BL292" s="273"/>
      <c r="BM292" s="273"/>
      <c r="BN292" s="273"/>
    </row>
    <row r="293" spans="1:66" s="250" customFormat="1" x14ac:dyDescent="0.25">
      <c r="A293" s="414"/>
      <c r="B293" s="454"/>
      <c r="C293" s="412"/>
      <c r="D293" s="412"/>
      <c r="E293" s="442"/>
      <c r="F293" s="442"/>
      <c r="G293" s="442"/>
      <c r="H293" s="442"/>
      <c r="I293" s="442"/>
      <c r="J293" s="442"/>
      <c r="K293" s="442"/>
      <c r="L293" s="416"/>
      <c r="M293" s="416"/>
      <c r="N293" s="416"/>
      <c r="O293" s="416"/>
      <c r="P293" s="416"/>
      <c r="Q293" s="398"/>
      <c r="R293" s="398"/>
      <c r="S293" s="398"/>
      <c r="T293" s="398"/>
      <c r="U293" s="457"/>
      <c r="V293" s="393"/>
      <c r="W293" s="392"/>
      <c r="X293" s="390"/>
      <c r="Y293" s="390"/>
      <c r="Z293" s="390"/>
      <c r="AA293" s="390"/>
      <c r="AB293" s="390"/>
      <c r="AC293" s="249"/>
      <c r="AD293" s="249"/>
      <c r="AE293" s="249"/>
      <c r="AF293" s="273"/>
      <c r="AG293" s="273"/>
      <c r="AH293" s="273"/>
      <c r="AI293" s="273"/>
      <c r="AJ293" s="273"/>
      <c r="AK293" s="273"/>
      <c r="AL293" s="273"/>
      <c r="AM293" s="273"/>
      <c r="AN293" s="273"/>
      <c r="AO293" s="273"/>
      <c r="AP293" s="273"/>
      <c r="AQ293" s="273"/>
      <c r="AR293" s="273"/>
      <c r="AS293" s="273"/>
      <c r="AT293" s="273"/>
      <c r="AU293" s="273"/>
      <c r="AV293" s="273"/>
      <c r="AW293" s="273"/>
      <c r="AX293" s="273"/>
      <c r="AY293" s="273"/>
      <c r="AZ293" s="273"/>
      <c r="BA293" s="273"/>
      <c r="BB293" s="273"/>
      <c r="BC293" s="273"/>
      <c r="BD293" s="273"/>
      <c r="BE293" s="273"/>
      <c r="BF293" s="273"/>
      <c r="BG293" s="273"/>
      <c r="BH293" s="273"/>
      <c r="BI293" s="273"/>
      <c r="BJ293" s="273"/>
      <c r="BK293" s="273"/>
      <c r="BL293" s="273"/>
      <c r="BM293" s="273"/>
      <c r="BN293" s="273"/>
    </row>
    <row r="294" spans="1:66" s="250" customFormat="1" x14ac:dyDescent="0.25">
      <c r="A294" s="414"/>
      <c r="B294" s="454"/>
      <c r="C294" s="412"/>
      <c r="D294" s="412"/>
      <c r="E294" s="442"/>
      <c r="F294" s="442"/>
      <c r="G294" s="442"/>
      <c r="H294" s="442"/>
      <c r="I294" s="442"/>
      <c r="J294" s="442"/>
      <c r="K294" s="442"/>
      <c r="L294" s="416"/>
      <c r="M294" s="416"/>
      <c r="N294" s="416"/>
      <c r="O294" s="416"/>
      <c r="P294" s="416"/>
      <c r="Q294" s="398"/>
      <c r="R294" s="398"/>
      <c r="S294" s="398"/>
      <c r="T294" s="398"/>
      <c r="U294" s="457"/>
      <c r="V294" s="393"/>
      <c r="W294" s="392"/>
      <c r="X294" s="390"/>
      <c r="Y294" s="390"/>
      <c r="Z294" s="390"/>
      <c r="AA294" s="390"/>
      <c r="AB294" s="390"/>
      <c r="AC294" s="249"/>
      <c r="AD294" s="249"/>
      <c r="AE294" s="249"/>
      <c r="AF294" s="273"/>
      <c r="AG294" s="273"/>
      <c r="AH294" s="273"/>
      <c r="AI294" s="273"/>
      <c r="AJ294" s="273"/>
      <c r="AK294" s="273"/>
      <c r="AL294" s="273"/>
      <c r="AM294" s="273"/>
      <c r="AN294" s="273"/>
      <c r="AO294" s="273"/>
      <c r="AP294" s="273"/>
      <c r="AQ294" s="273"/>
      <c r="AR294" s="273"/>
      <c r="AS294" s="273"/>
      <c r="AT294" s="273"/>
      <c r="AU294" s="273"/>
      <c r="AV294" s="273"/>
      <c r="AW294" s="273"/>
      <c r="AX294" s="273"/>
      <c r="AY294" s="273"/>
      <c r="AZ294" s="273"/>
      <c r="BA294" s="273"/>
      <c r="BB294" s="273"/>
      <c r="BC294" s="273"/>
      <c r="BD294" s="273"/>
      <c r="BE294" s="273"/>
      <c r="BF294" s="273"/>
      <c r="BG294" s="273"/>
      <c r="BH294" s="273"/>
      <c r="BI294" s="273"/>
      <c r="BJ294" s="273"/>
      <c r="BK294" s="273"/>
      <c r="BL294" s="273"/>
      <c r="BM294" s="273"/>
      <c r="BN294" s="273"/>
    </row>
    <row r="295" spans="1:66" s="250" customFormat="1" x14ac:dyDescent="0.25">
      <c r="A295" s="414"/>
      <c r="B295" s="454"/>
      <c r="C295" s="412"/>
      <c r="D295" s="412"/>
      <c r="E295" s="442"/>
      <c r="F295" s="442"/>
      <c r="G295" s="442"/>
      <c r="H295" s="442"/>
      <c r="I295" s="442"/>
      <c r="J295" s="442"/>
      <c r="K295" s="442"/>
      <c r="L295" s="416"/>
      <c r="M295" s="416"/>
      <c r="N295" s="416"/>
      <c r="O295" s="416"/>
      <c r="P295" s="416"/>
      <c r="Q295" s="398"/>
      <c r="R295" s="398"/>
      <c r="S295" s="398"/>
      <c r="T295" s="398"/>
      <c r="U295" s="457"/>
      <c r="V295" s="393"/>
      <c r="W295" s="392"/>
      <c r="X295" s="390"/>
      <c r="Y295" s="390"/>
      <c r="Z295" s="390"/>
      <c r="AA295" s="390"/>
      <c r="AB295" s="390"/>
      <c r="AC295" s="249"/>
      <c r="AD295" s="249"/>
      <c r="AE295" s="249"/>
      <c r="AF295" s="273"/>
      <c r="AG295" s="273"/>
      <c r="AH295" s="273"/>
      <c r="AI295" s="273"/>
      <c r="AJ295" s="273"/>
      <c r="AK295" s="273"/>
      <c r="AL295" s="273"/>
      <c r="AM295" s="273"/>
      <c r="AN295" s="273"/>
      <c r="AO295" s="273"/>
      <c r="AP295" s="273"/>
      <c r="AQ295" s="273"/>
      <c r="AR295" s="273"/>
      <c r="AS295" s="273"/>
      <c r="AT295" s="273"/>
      <c r="AU295" s="273"/>
      <c r="AV295" s="273"/>
      <c r="AW295" s="273"/>
      <c r="AX295" s="273"/>
      <c r="AY295" s="273"/>
      <c r="AZ295" s="273"/>
      <c r="BA295" s="273"/>
      <c r="BB295" s="273"/>
      <c r="BC295" s="273"/>
      <c r="BD295" s="273"/>
      <c r="BE295" s="273"/>
      <c r="BF295" s="273"/>
      <c r="BG295" s="273"/>
      <c r="BH295" s="273"/>
      <c r="BI295" s="273"/>
      <c r="BJ295" s="273"/>
      <c r="BK295" s="273"/>
      <c r="BL295" s="273"/>
      <c r="BM295" s="273"/>
      <c r="BN295" s="273"/>
    </row>
    <row r="296" spans="1:66" s="250" customFormat="1" x14ac:dyDescent="0.25">
      <c r="A296" s="414"/>
      <c r="B296" s="454"/>
      <c r="C296" s="412"/>
      <c r="D296" s="412"/>
      <c r="E296" s="442"/>
      <c r="F296" s="442"/>
      <c r="G296" s="442"/>
      <c r="H296" s="442"/>
      <c r="I296" s="442"/>
      <c r="J296" s="442"/>
      <c r="K296" s="442"/>
      <c r="L296" s="416"/>
      <c r="M296" s="416"/>
      <c r="N296" s="416"/>
      <c r="O296" s="416"/>
      <c r="P296" s="416"/>
      <c r="Q296" s="398"/>
      <c r="R296" s="398"/>
      <c r="S296" s="398"/>
      <c r="T296" s="398"/>
      <c r="U296" s="457"/>
      <c r="V296" s="393"/>
      <c r="W296" s="392"/>
      <c r="X296" s="390"/>
      <c r="Y296" s="390"/>
      <c r="Z296" s="390"/>
      <c r="AA296" s="390"/>
      <c r="AB296" s="390"/>
      <c r="AC296" s="249"/>
      <c r="AD296" s="249"/>
      <c r="AE296" s="249"/>
      <c r="AF296" s="273"/>
      <c r="AG296" s="273"/>
      <c r="AH296" s="273"/>
      <c r="AI296" s="273"/>
      <c r="AJ296" s="273"/>
      <c r="AK296" s="273"/>
      <c r="AL296" s="273"/>
      <c r="AM296" s="273"/>
      <c r="AN296" s="273"/>
      <c r="AO296" s="273"/>
      <c r="AP296" s="273"/>
      <c r="AQ296" s="273"/>
      <c r="AR296" s="273"/>
      <c r="AS296" s="273"/>
      <c r="AT296" s="273"/>
      <c r="AU296" s="273"/>
      <c r="AV296" s="273"/>
      <c r="AW296" s="273"/>
      <c r="AX296" s="273"/>
      <c r="AY296" s="273"/>
      <c r="AZ296" s="273"/>
      <c r="BA296" s="273"/>
      <c r="BB296" s="273"/>
      <c r="BC296" s="273"/>
      <c r="BD296" s="273"/>
      <c r="BE296" s="273"/>
      <c r="BF296" s="273"/>
      <c r="BG296" s="273"/>
      <c r="BH296" s="273"/>
      <c r="BI296" s="273"/>
      <c r="BJ296" s="273"/>
      <c r="BK296" s="273"/>
      <c r="BL296" s="273"/>
      <c r="BM296" s="273"/>
      <c r="BN296" s="273"/>
    </row>
    <row r="297" spans="1:66" s="250" customFormat="1" x14ac:dyDescent="0.25">
      <c r="A297" s="414"/>
      <c r="B297" s="454"/>
      <c r="C297" s="412"/>
      <c r="D297" s="412"/>
      <c r="E297" s="442"/>
      <c r="F297" s="442"/>
      <c r="G297" s="442"/>
      <c r="H297" s="442"/>
      <c r="I297" s="442"/>
      <c r="J297" s="442"/>
      <c r="K297" s="442"/>
      <c r="L297" s="416"/>
      <c r="M297" s="416"/>
      <c r="N297" s="416"/>
      <c r="O297" s="416"/>
      <c r="P297" s="416"/>
      <c r="Q297" s="398"/>
      <c r="R297" s="398"/>
      <c r="S297" s="398"/>
      <c r="T297" s="398"/>
      <c r="U297" s="457"/>
      <c r="V297" s="393"/>
      <c r="W297" s="392"/>
      <c r="X297" s="390"/>
      <c r="Y297" s="390"/>
      <c r="Z297" s="390"/>
      <c r="AA297" s="390"/>
      <c r="AB297" s="390"/>
      <c r="AC297" s="249"/>
      <c r="AD297" s="249"/>
      <c r="AE297" s="249"/>
      <c r="AF297" s="273"/>
      <c r="AG297" s="273"/>
      <c r="AH297" s="273"/>
      <c r="AI297" s="273"/>
      <c r="AJ297" s="273"/>
      <c r="AK297" s="273"/>
      <c r="AL297" s="273"/>
      <c r="AM297" s="273"/>
      <c r="AN297" s="273"/>
      <c r="AO297" s="273"/>
      <c r="AP297" s="273"/>
      <c r="AQ297" s="273"/>
      <c r="AR297" s="273"/>
      <c r="AS297" s="273"/>
      <c r="AT297" s="273"/>
      <c r="AU297" s="273"/>
      <c r="AV297" s="273"/>
      <c r="AW297" s="273"/>
      <c r="AX297" s="273"/>
      <c r="AY297" s="273"/>
      <c r="AZ297" s="273"/>
      <c r="BA297" s="273"/>
      <c r="BB297" s="273"/>
      <c r="BC297" s="273"/>
      <c r="BD297" s="273"/>
      <c r="BE297" s="273"/>
      <c r="BF297" s="273"/>
      <c r="BG297" s="273"/>
      <c r="BH297" s="273"/>
      <c r="BI297" s="273"/>
      <c r="BJ297" s="273"/>
      <c r="BK297" s="273"/>
      <c r="BL297" s="273"/>
      <c r="BM297" s="273"/>
      <c r="BN297" s="273"/>
    </row>
    <row r="298" spans="1:66" s="250" customFormat="1" x14ac:dyDescent="0.25">
      <c r="A298" s="414"/>
      <c r="B298" s="454"/>
      <c r="C298" s="412"/>
      <c r="D298" s="412"/>
      <c r="E298" s="442"/>
      <c r="F298" s="442"/>
      <c r="G298" s="442"/>
      <c r="H298" s="442"/>
      <c r="I298" s="442"/>
      <c r="J298" s="442"/>
      <c r="K298" s="442"/>
      <c r="L298" s="416"/>
      <c r="M298" s="416"/>
      <c r="N298" s="416"/>
      <c r="O298" s="416"/>
      <c r="P298" s="416"/>
      <c r="Q298" s="398"/>
      <c r="R298" s="398"/>
      <c r="S298" s="398"/>
      <c r="T298" s="398"/>
      <c r="U298" s="457"/>
      <c r="V298" s="393"/>
      <c r="W298" s="392"/>
      <c r="X298" s="390"/>
      <c r="Y298" s="390"/>
      <c r="Z298" s="390"/>
      <c r="AA298" s="390"/>
      <c r="AB298" s="390"/>
      <c r="AC298" s="249"/>
      <c r="AD298" s="249"/>
      <c r="AE298" s="249"/>
      <c r="AF298" s="273"/>
      <c r="AG298" s="273"/>
      <c r="AH298" s="273"/>
      <c r="AI298" s="273"/>
      <c r="AJ298" s="273"/>
      <c r="AK298" s="273"/>
      <c r="AL298" s="273"/>
      <c r="AM298" s="273"/>
      <c r="AN298" s="273"/>
      <c r="AO298" s="273"/>
      <c r="AP298" s="273"/>
      <c r="AQ298" s="273"/>
      <c r="AR298" s="273"/>
      <c r="AS298" s="273"/>
      <c r="AT298" s="273"/>
      <c r="AU298" s="273"/>
      <c r="AV298" s="273"/>
      <c r="AW298" s="273"/>
      <c r="AX298" s="273"/>
      <c r="AY298" s="273"/>
      <c r="AZ298" s="273"/>
      <c r="BA298" s="273"/>
      <c r="BB298" s="273"/>
      <c r="BC298" s="273"/>
      <c r="BD298" s="273"/>
      <c r="BE298" s="273"/>
      <c r="BF298" s="273"/>
      <c r="BG298" s="273"/>
      <c r="BH298" s="273"/>
      <c r="BI298" s="273"/>
      <c r="BJ298" s="273"/>
      <c r="BK298" s="273"/>
      <c r="BL298" s="273"/>
      <c r="BM298" s="273"/>
      <c r="BN298" s="273"/>
    </row>
    <row r="299" spans="1:66" s="250" customFormat="1" x14ac:dyDescent="0.25">
      <c r="A299" s="414"/>
      <c r="B299" s="454"/>
      <c r="C299" s="412"/>
      <c r="D299" s="412"/>
      <c r="E299" s="442"/>
      <c r="F299" s="442"/>
      <c r="G299" s="442"/>
      <c r="H299" s="442"/>
      <c r="I299" s="442"/>
      <c r="J299" s="442"/>
      <c r="K299" s="442"/>
      <c r="L299" s="416"/>
      <c r="M299" s="416"/>
      <c r="N299" s="416"/>
      <c r="O299" s="416"/>
      <c r="P299" s="416"/>
      <c r="Q299" s="398"/>
      <c r="R299" s="398"/>
      <c r="S299" s="398"/>
      <c r="T299" s="398"/>
      <c r="U299" s="457"/>
      <c r="V299" s="393"/>
      <c r="W299" s="392"/>
      <c r="X299" s="390"/>
      <c r="Y299" s="390"/>
      <c r="Z299" s="390"/>
      <c r="AA299" s="390"/>
      <c r="AB299" s="390"/>
      <c r="AC299" s="249"/>
      <c r="AD299" s="249"/>
      <c r="AE299" s="249"/>
      <c r="AF299" s="273"/>
      <c r="AG299" s="273"/>
      <c r="AH299" s="273"/>
      <c r="AI299" s="273"/>
      <c r="AJ299" s="273"/>
      <c r="AK299" s="273"/>
      <c r="AL299" s="273"/>
      <c r="AM299" s="273"/>
      <c r="AN299" s="273"/>
      <c r="AO299" s="273"/>
      <c r="AP299" s="273"/>
      <c r="AQ299" s="273"/>
      <c r="AR299" s="273"/>
      <c r="AS299" s="273"/>
      <c r="AT299" s="273"/>
      <c r="AU299" s="273"/>
      <c r="AV299" s="273"/>
      <c r="AW299" s="273"/>
      <c r="AX299" s="273"/>
      <c r="AY299" s="273"/>
      <c r="AZ299" s="273"/>
      <c r="BA299" s="273"/>
      <c r="BB299" s="273"/>
      <c r="BC299" s="273"/>
      <c r="BD299" s="273"/>
      <c r="BE299" s="273"/>
      <c r="BF299" s="273"/>
      <c r="BG299" s="273"/>
      <c r="BH299" s="273"/>
      <c r="BI299" s="273"/>
      <c r="BJ299" s="273"/>
      <c r="BK299" s="273"/>
      <c r="BL299" s="273"/>
      <c r="BM299" s="273"/>
      <c r="BN299" s="273"/>
    </row>
    <row r="300" spans="1:66" s="250" customFormat="1" x14ac:dyDescent="0.25">
      <c r="A300" s="414"/>
      <c r="B300" s="454"/>
      <c r="C300" s="412"/>
      <c r="D300" s="412"/>
      <c r="E300" s="442"/>
      <c r="F300" s="442"/>
      <c r="G300" s="442"/>
      <c r="H300" s="442"/>
      <c r="I300" s="442"/>
      <c r="J300" s="442"/>
      <c r="K300" s="442"/>
      <c r="L300" s="416"/>
      <c r="M300" s="416"/>
      <c r="N300" s="416"/>
      <c r="O300" s="416"/>
      <c r="P300" s="416"/>
      <c r="Q300" s="398"/>
      <c r="R300" s="398"/>
      <c r="S300" s="398"/>
      <c r="T300" s="398"/>
      <c r="U300" s="457"/>
      <c r="V300" s="393"/>
      <c r="W300" s="392"/>
      <c r="X300" s="390"/>
      <c r="Y300" s="390"/>
      <c r="Z300" s="390"/>
      <c r="AA300" s="390"/>
      <c r="AB300" s="390"/>
      <c r="AC300" s="249"/>
      <c r="AD300" s="249"/>
      <c r="AE300" s="249"/>
      <c r="AF300" s="273"/>
      <c r="AG300" s="273"/>
      <c r="AH300" s="273"/>
      <c r="AI300" s="273"/>
      <c r="AJ300" s="273"/>
      <c r="AK300" s="273"/>
      <c r="AL300" s="273"/>
      <c r="AM300" s="273"/>
      <c r="AN300" s="273"/>
      <c r="AO300" s="273"/>
      <c r="AP300" s="273"/>
      <c r="AQ300" s="273"/>
      <c r="AR300" s="273"/>
      <c r="AS300" s="273"/>
      <c r="AT300" s="273"/>
      <c r="AU300" s="273"/>
      <c r="AV300" s="273"/>
      <c r="AW300" s="273"/>
      <c r="AX300" s="273"/>
      <c r="AY300" s="273"/>
      <c r="AZ300" s="273"/>
      <c r="BA300" s="273"/>
      <c r="BB300" s="273"/>
      <c r="BC300" s="273"/>
      <c r="BD300" s="273"/>
      <c r="BE300" s="273"/>
      <c r="BF300" s="273"/>
      <c r="BG300" s="273"/>
      <c r="BH300" s="273"/>
      <c r="BI300" s="273"/>
      <c r="BJ300" s="273"/>
      <c r="BK300" s="273"/>
      <c r="BL300" s="273"/>
      <c r="BM300" s="273"/>
      <c r="BN300" s="273"/>
    </row>
    <row r="301" spans="1:66" s="250" customFormat="1" x14ac:dyDescent="0.25">
      <c r="A301" s="414"/>
      <c r="B301" s="454"/>
      <c r="C301" s="412"/>
      <c r="D301" s="412"/>
      <c r="E301" s="442"/>
      <c r="F301" s="442"/>
      <c r="G301" s="442"/>
      <c r="H301" s="442"/>
      <c r="I301" s="442"/>
      <c r="J301" s="442"/>
      <c r="K301" s="442"/>
      <c r="L301" s="416"/>
      <c r="M301" s="416"/>
      <c r="N301" s="416"/>
      <c r="O301" s="416"/>
      <c r="P301" s="416"/>
      <c r="Q301" s="398"/>
      <c r="R301" s="398"/>
      <c r="S301" s="398"/>
      <c r="T301" s="398"/>
      <c r="U301" s="457"/>
      <c r="V301" s="393"/>
      <c r="W301" s="392"/>
      <c r="X301" s="390"/>
      <c r="Y301" s="390"/>
      <c r="Z301" s="390"/>
      <c r="AA301" s="390"/>
      <c r="AB301" s="390"/>
      <c r="AC301" s="249"/>
      <c r="AD301" s="249"/>
      <c r="AE301" s="249"/>
      <c r="AF301" s="273"/>
      <c r="AG301" s="273"/>
      <c r="AH301" s="273"/>
      <c r="AI301" s="273"/>
      <c r="AJ301" s="273"/>
      <c r="AK301" s="273"/>
      <c r="AL301" s="273"/>
      <c r="AM301" s="273"/>
      <c r="AN301" s="273"/>
      <c r="AO301" s="273"/>
      <c r="AP301" s="273"/>
      <c r="AQ301" s="273"/>
      <c r="AR301" s="273"/>
      <c r="AS301" s="273"/>
      <c r="AT301" s="273"/>
      <c r="AU301" s="273"/>
      <c r="AV301" s="273"/>
      <c r="AW301" s="273"/>
      <c r="AX301" s="273"/>
      <c r="AY301" s="273"/>
      <c r="AZ301" s="273"/>
      <c r="BA301" s="273"/>
      <c r="BB301" s="273"/>
      <c r="BC301" s="273"/>
      <c r="BD301" s="273"/>
      <c r="BE301" s="273"/>
      <c r="BF301" s="273"/>
      <c r="BG301" s="273"/>
      <c r="BH301" s="273"/>
      <c r="BI301" s="273"/>
      <c r="BJ301" s="273"/>
      <c r="BK301" s="273"/>
      <c r="BL301" s="273"/>
      <c r="BM301" s="273"/>
      <c r="BN301" s="273"/>
    </row>
    <row r="302" spans="1:66" s="250" customFormat="1" x14ac:dyDescent="0.25">
      <c r="A302" s="414"/>
      <c r="B302" s="454"/>
      <c r="C302" s="412"/>
      <c r="D302" s="412"/>
      <c r="E302" s="442"/>
      <c r="F302" s="442"/>
      <c r="G302" s="442"/>
      <c r="H302" s="442"/>
      <c r="I302" s="442"/>
      <c r="J302" s="442"/>
      <c r="K302" s="442"/>
      <c r="L302" s="416"/>
      <c r="M302" s="416"/>
      <c r="N302" s="416"/>
      <c r="O302" s="416"/>
      <c r="P302" s="416"/>
      <c r="Q302" s="398"/>
      <c r="R302" s="398"/>
      <c r="S302" s="398"/>
      <c r="T302" s="398"/>
      <c r="U302" s="457"/>
      <c r="V302" s="393"/>
      <c r="W302" s="392"/>
      <c r="X302" s="390"/>
      <c r="Y302" s="390"/>
      <c r="Z302" s="390"/>
      <c r="AA302" s="390"/>
      <c r="AB302" s="390"/>
      <c r="AC302" s="249"/>
      <c r="AD302" s="249"/>
      <c r="AE302" s="249"/>
      <c r="AF302" s="273"/>
      <c r="AG302" s="273"/>
      <c r="AH302" s="273"/>
      <c r="AI302" s="273"/>
      <c r="AJ302" s="273"/>
      <c r="AK302" s="273"/>
      <c r="AL302" s="273"/>
      <c r="AM302" s="273"/>
      <c r="AN302" s="273"/>
      <c r="AO302" s="273"/>
      <c r="AP302" s="273"/>
      <c r="AQ302" s="273"/>
      <c r="AR302" s="273"/>
      <c r="AS302" s="273"/>
      <c r="AT302" s="273"/>
      <c r="AU302" s="273"/>
      <c r="AV302" s="273"/>
      <c r="AW302" s="273"/>
      <c r="AX302" s="273"/>
      <c r="AY302" s="273"/>
      <c r="AZ302" s="273"/>
      <c r="BA302" s="273"/>
      <c r="BB302" s="273"/>
      <c r="BC302" s="273"/>
      <c r="BD302" s="273"/>
      <c r="BE302" s="273"/>
      <c r="BF302" s="273"/>
      <c r="BG302" s="273"/>
      <c r="BH302" s="273"/>
      <c r="BI302" s="273"/>
      <c r="BJ302" s="273"/>
      <c r="BK302" s="273"/>
      <c r="BL302" s="273"/>
      <c r="BM302" s="273"/>
      <c r="BN302" s="273"/>
    </row>
    <row r="303" spans="1:66" s="250" customFormat="1" x14ac:dyDescent="0.25">
      <c r="A303" s="414"/>
      <c r="B303" s="454"/>
      <c r="C303" s="412"/>
      <c r="D303" s="412"/>
      <c r="E303" s="442"/>
      <c r="F303" s="442"/>
      <c r="G303" s="442"/>
      <c r="H303" s="442"/>
      <c r="I303" s="442"/>
      <c r="J303" s="442"/>
      <c r="K303" s="442"/>
      <c r="L303" s="416"/>
      <c r="M303" s="416"/>
      <c r="N303" s="416"/>
      <c r="O303" s="416"/>
      <c r="P303" s="416"/>
      <c r="Q303" s="398"/>
      <c r="R303" s="398"/>
      <c r="S303" s="398"/>
      <c r="T303" s="398"/>
      <c r="U303" s="457"/>
      <c r="V303" s="393"/>
      <c r="W303" s="392"/>
      <c r="X303" s="390"/>
      <c r="Y303" s="390"/>
      <c r="Z303" s="390"/>
      <c r="AA303" s="390"/>
      <c r="AB303" s="390"/>
      <c r="AC303" s="249"/>
      <c r="AD303" s="249"/>
      <c r="AE303" s="249"/>
      <c r="AF303" s="273"/>
      <c r="AG303" s="273"/>
      <c r="AH303" s="273"/>
      <c r="AI303" s="273"/>
      <c r="AJ303" s="273"/>
      <c r="AK303" s="273"/>
      <c r="AL303" s="273"/>
      <c r="AM303" s="273"/>
      <c r="AN303" s="273"/>
      <c r="AO303" s="273"/>
      <c r="AP303" s="273"/>
      <c r="AQ303" s="273"/>
      <c r="AR303" s="273"/>
      <c r="AS303" s="273"/>
      <c r="AT303" s="273"/>
      <c r="AU303" s="273"/>
      <c r="AV303" s="273"/>
      <c r="AW303" s="273"/>
      <c r="AX303" s="273"/>
      <c r="AY303" s="273"/>
      <c r="AZ303" s="273"/>
      <c r="BA303" s="273"/>
      <c r="BB303" s="273"/>
      <c r="BC303" s="273"/>
      <c r="BD303" s="273"/>
      <c r="BE303" s="273"/>
      <c r="BF303" s="273"/>
      <c r="BG303" s="273"/>
      <c r="BH303" s="273"/>
      <c r="BI303" s="273"/>
      <c r="BJ303" s="273"/>
      <c r="BK303" s="273"/>
      <c r="BL303" s="273"/>
      <c r="BM303" s="273"/>
      <c r="BN303" s="273"/>
    </row>
    <row r="304" spans="1:66" s="250" customFormat="1" x14ac:dyDescent="0.25">
      <c r="A304" s="414"/>
      <c r="B304" s="454"/>
      <c r="C304" s="412"/>
      <c r="D304" s="412"/>
      <c r="E304" s="442"/>
      <c r="F304" s="442"/>
      <c r="G304" s="442"/>
      <c r="H304" s="442"/>
      <c r="I304" s="442"/>
      <c r="J304" s="442"/>
      <c r="K304" s="442"/>
      <c r="L304" s="416"/>
      <c r="M304" s="416"/>
      <c r="N304" s="416"/>
      <c r="O304" s="416"/>
      <c r="P304" s="416"/>
      <c r="Q304" s="398"/>
      <c r="R304" s="398"/>
      <c r="S304" s="398"/>
      <c r="T304" s="398"/>
      <c r="U304" s="457"/>
      <c r="V304" s="393"/>
      <c r="W304" s="392"/>
      <c r="X304" s="390"/>
      <c r="Y304" s="390"/>
      <c r="Z304" s="390"/>
      <c r="AA304" s="390"/>
      <c r="AB304" s="390"/>
      <c r="AC304" s="249"/>
      <c r="AD304" s="249"/>
      <c r="AE304" s="249"/>
      <c r="AF304" s="273"/>
      <c r="AG304" s="273"/>
      <c r="AH304" s="273"/>
      <c r="AI304" s="273"/>
      <c r="AJ304" s="273"/>
      <c r="AK304" s="273"/>
      <c r="AL304" s="273"/>
      <c r="AM304" s="273"/>
      <c r="AN304" s="273"/>
      <c r="AO304" s="273"/>
      <c r="AP304" s="273"/>
      <c r="AQ304" s="273"/>
      <c r="AR304" s="273"/>
      <c r="AS304" s="273"/>
      <c r="AT304" s="273"/>
      <c r="AU304" s="273"/>
      <c r="AV304" s="273"/>
      <c r="AW304" s="273"/>
      <c r="AX304" s="273"/>
      <c r="AY304" s="273"/>
      <c r="AZ304" s="273"/>
      <c r="BA304" s="273"/>
      <c r="BB304" s="273"/>
      <c r="BC304" s="273"/>
      <c r="BD304" s="273"/>
      <c r="BE304" s="273"/>
      <c r="BF304" s="273"/>
      <c r="BG304" s="273"/>
      <c r="BH304" s="273"/>
      <c r="BI304" s="273"/>
      <c r="BJ304" s="273"/>
      <c r="BK304" s="273"/>
      <c r="BL304" s="273"/>
      <c r="BM304" s="273"/>
      <c r="BN304" s="273"/>
    </row>
    <row r="305" spans="1:66" s="250" customFormat="1" x14ac:dyDescent="0.25">
      <c r="A305" s="414"/>
      <c r="B305" s="454"/>
      <c r="C305" s="412"/>
      <c r="D305" s="412"/>
      <c r="E305" s="442"/>
      <c r="F305" s="442"/>
      <c r="G305" s="442"/>
      <c r="H305" s="442"/>
      <c r="I305" s="442"/>
      <c r="J305" s="442"/>
      <c r="K305" s="442"/>
      <c r="L305" s="416"/>
      <c r="M305" s="416"/>
      <c r="N305" s="416"/>
      <c r="O305" s="416"/>
      <c r="P305" s="416"/>
      <c r="Q305" s="398"/>
      <c r="R305" s="398"/>
      <c r="S305" s="398"/>
      <c r="T305" s="398"/>
      <c r="U305" s="457"/>
      <c r="V305" s="393"/>
      <c r="W305" s="392"/>
      <c r="X305" s="390"/>
      <c r="Y305" s="390"/>
      <c r="Z305" s="390"/>
      <c r="AA305" s="390"/>
      <c r="AB305" s="390"/>
      <c r="AC305" s="249"/>
      <c r="AD305" s="249"/>
      <c r="AE305" s="249"/>
      <c r="AF305" s="273"/>
      <c r="AG305" s="273"/>
      <c r="AH305" s="273"/>
      <c r="AI305" s="273"/>
      <c r="AJ305" s="273"/>
      <c r="AK305" s="273"/>
      <c r="AL305" s="273"/>
      <c r="AM305" s="273"/>
      <c r="AN305" s="273"/>
      <c r="AO305" s="273"/>
      <c r="AP305" s="273"/>
      <c r="AQ305" s="273"/>
      <c r="AR305" s="273"/>
      <c r="AS305" s="273"/>
      <c r="AT305" s="273"/>
      <c r="AU305" s="273"/>
      <c r="AV305" s="273"/>
      <c r="AW305" s="273"/>
      <c r="AX305" s="273"/>
      <c r="AY305" s="273"/>
      <c r="AZ305" s="273"/>
      <c r="BA305" s="273"/>
      <c r="BB305" s="273"/>
      <c r="BC305" s="273"/>
      <c r="BD305" s="273"/>
      <c r="BE305" s="273"/>
      <c r="BF305" s="273"/>
      <c r="BG305" s="273"/>
      <c r="BH305" s="273"/>
      <c r="BI305" s="273"/>
      <c r="BJ305" s="273"/>
      <c r="BK305" s="273"/>
      <c r="BL305" s="273"/>
      <c r="BM305" s="273"/>
      <c r="BN305" s="273"/>
    </row>
    <row r="306" spans="1:66" s="250" customFormat="1" x14ac:dyDescent="0.25">
      <c r="A306" s="414"/>
      <c r="B306" s="454"/>
      <c r="C306" s="412"/>
      <c r="D306" s="412"/>
      <c r="E306" s="442"/>
      <c r="F306" s="442"/>
      <c r="G306" s="442"/>
      <c r="H306" s="442"/>
      <c r="I306" s="442"/>
      <c r="J306" s="442"/>
      <c r="K306" s="442"/>
      <c r="L306" s="416"/>
      <c r="M306" s="416"/>
      <c r="N306" s="416"/>
      <c r="O306" s="416"/>
      <c r="P306" s="416"/>
      <c r="Q306" s="398"/>
      <c r="R306" s="398"/>
      <c r="S306" s="398"/>
      <c r="T306" s="398"/>
      <c r="U306" s="457"/>
      <c r="V306" s="393"/>
      <c r="W306" s="392"/>
      <c r="X306" s="390"/>
      <c r="Y306" s="390"/>
      <c r="Z306" s="390"/>
      <c r="AA306" s="390"/>
      <c r="AB306" s="390"/>
      <c r="AC306" s="249"/>
      <c r="AD306" s="249"/>
      <c r="AE306" s="249"/>
      <c r="AF306" s="273"/>
      <c r="AG306" s="273"/>
      <c r="AH306" s="273"/>
      <c r="AI306" s="273"/>
      <c r="AJ306" s="273"/>
      <c r="AK306" s="273"/>
      <c r="AL306" s="273"/>
      <c r="AM306" s="273"/>
      <c r="AN306" s="273"/>
      <c r="AO306" s="273"/>
      <c r="AP306" s="273"/>
      <c r="AQ306" s="273"/>
      <c r="AR306" s="273"/>
      <c r="AS306" s="273"/>
      <c r="AT306" s="273"/>
      <c r="AU306" s="273"/>
      <c r="AV306" s="273"/>
      <c r="AW306" s="273"/>
      <c r="AX306" s="273"/>
      <c r="AY306" s="273"/>
      <c r="AZ306" s="273"/>
      <c r="BA306" s="273"/>
      <c r="BB306" s="273"/>
      <c r="BC306" s="273"/>
      <c r="BD306" s="273"/>
      <c r="BE306" s="273"/>
      <c r="BF306" s="273"/>
      <c r="BG306" s="273"/>
      <c r="BH306" s="273"/>
      <c r="BI306" s="273"/>
      <c r="BJ306" s="273"/>
      <c r="BK306" s="273"/>
      <c r="BL306" s="273"/>
      <c r="BM306" s="273"/>
      <c r="BN306" s="273"/>
    </row>
    <row r="307" spans="1:66" s="250" customFormat="1" x14ac:dyDescent="0.25">
      <c r="A307" s="414"/>
      <c r="B307" s="454"/>
      <c r="C307" s="412"/>
      <c r="D307" s="412"/>
      <c r="E307" s="442"/>
      <c r="F307" s="442"/>
      <c r="G307" s="442"/>
      <c r="H307" s="442"/>
      <c r="I307" s="442"/>
      <c r="J307" s="442"/>
      <c r="K307" s="442"/>
      <c r="L307" s="416"/>
      <c r="M307" s="416"/>
      <c r="N307" s="416"/>
      <c r="O307" s="416"/>
      <c r="P307" s="416"/>
      <c r="Q307" s="398"/>
      <c r="R307" s="398"/>
      <c r="S307" s="398"/>
      <c r="T307" s="398"/>
      <c r="U307" s="457"/>
      <c r="V307" s="393"/>
      <c r="W307" s="392"/>
      <c r="X307" s="390"/>
      <c r="Y307" s="390"/>
      <c r="Z307" s="390"/>
      <c r="AA307" s="390"/>
      <c r="AB307" s="390"/>
      <c r="AC307" s="249"/>
      <c r="AD307" s="249"/>
      <c r="AE307" s="249"/>
      <c r="AF307" s="273"/>
      <c r="AG307" s="273"/>
      <c r="AH307" s="273"/>
      <c r="AI307" s="273"/>
      <c r="AJ307" s="273"/>
      <c r="AK307" s="273"/>
      <c r="AL307" s="273"/>
      <c r="AM307" s="273"/>
      <c r="AN307" s="273"/>
      <c r="AO307" s="273"/>
      <c r="AP307" s="273"/>
      <c r="AQ307" s="273"/>
      <c r="AR307" s="273"/>
      <c r="AS307" s="273"/>
      <c r="AT307" s="273"/>
      <c r="AU307" s="273"/>
      <c r="AV307" s="273"/>
      <c r="AW307" s="273"/>
      <c r="AX307" s="273"/>
      <c r="AY307" s="273"/>
      <c r="AZ307" s="273"/>
      <c r="BA307" s="273"/>
      <c r="BB307" s="273"/>
      <c r="BC307" s="273"/>
      <c r="BD307" s="273"/>
      <c r="BE307" s="273"/>
      <c r="BF307" s="273"/>
      <c r="BG307" s="273"/>
      <c r="BH307" s="273"/>
      <c r="BI307" s="273"/>
      <c r="BJ307" s="273"/>
      <c r="BK307" s="273"/>
      <c r="BL307" s="273"/>
      <c r="BM307" s="273"/>
      <c r="BN307" s="273"/>
    </row>
    <row r="308" spans="1:66" s="250" customFormat="1" x14ac:dyDescent="0.25">
      <c r="A308" s="414"/>
      <c r="B308" s="454"/>
      <c r="C308" s="412"/>
      <c r="D308" s="412"/>
      <c r="E308" s="442"/>
      <c r="F308" s="442"/>
      <c r="G308" s="442"/>
      <c r="H308" s="442"/>
      <c r="I308" s="442"/>
      <c r="J308" s="442"/>
      <c r="K308" s="442"/>
      <c r="L308" s="416"/>
      <c r="M308" s="416"/>
      <c r="N308" s="416"/>
      <c r="O308" s="416"/>
      <c r="P308" s="416"/>
      <c r="Q308" s="398"/>
      <c r="R308" s="398"/>
      <c r="S308" s="398"/>
      <c r="T308" s="398"/>
      <c r="U308" s="457"/>
      <c r="V308" s="393"/>
      <c r="W308" s="392"/>
      <c r="X308" s="390"/>
      <c r="Y308" s="390"/>
      <c r="Z308" s="390"/>
      <c r="AA308" s="390"/>
      <c r="AB308" s="390"/>
      <c r="AC308" s="249"/>
      <c r="AD308" s="249"/>
      <c r="AE308" s="249"/>
      <c r="AF308" s="273"/>
      <c r="AG308" s="273"/>
      <c r="AH308" s="273"/>
      <c r="AI308" s="273"/>
      <c r="AJ308" s="273"/>
      <c r="AK308" s="273"/>
      <c r="AL308" s="273"/>
      <c r="AM308" s="273"/>
      <c r="AN308" s="273"/>
      <c r="AO308" s="273"/>
      <c r="AP308" s="273"/>
      <c r="AQ308" s="273"/>
      <c r="AR308" s="273"/>
      <c r="AS308" s="273"/>
      <c r="AT308" s="273"/>
      <c r="AU308" s="273"/>
      <c r="AV308" s="273"/>
      <c r="AW308" s="273"/>
      <c r="AX308" s="273"/>
      <c r="AY308" s="273"/>
      <c r="AZ308" s="273"/>
      <c r="BA308" s="273"/>
      <c r="BB308" s="273"/>
      <c r="BC308" s="273"/>
      <c r="BD308" s="273"/>
      <c r="BE308" s="273"/>
      <c r="BF308" s="273"/>
      <c r="BG308" s="273"/>
      <c r="BH308" s="273"/>
      <c r="BI308" s="273"/>
      <c r="BJ308" s="273"/>
      <c r="BK308" s="273"/>
      <c r="BL308" s="273"/>
      <c r="BM308" s="273"/>
      <c r="BN308" s="273"/>
    </row>
    <row r="309" spans="1:66" s="250" customFormat="1" x14ac:dyDescent="0.25">
      <c r="A309" s="414"/>
      <c r="B309" s="454"/>
      <c r="C309" s="412"/>
      <c r="D309" s="412"/>
      <c r="E309" s="442"/>
      <c r="F309" s="442"/>
      <c r="G309" s="442"/>
      <c r="H309" s="442"/>
      <c r="I309" s="442"/>
      <c r="J309" s="442"/>
      <c r="K309" s="442"/>
      <c r="L309" s="416"/>
      <c r="M309" s="416"/>
      <c r="N309" s="416"/>
      <c r="O309" s="416"/>
      <c r="P309" s="416"/>
      <c r="Q309" s="398"/>
      <c r="R309" s="398"/>
      <c r="S309" s="398"/>
      <c r="T309" s="398"/>
      <c r="U309" s="457"/>
      <c r="V309" s="393"/>
      <c r="W309" s="392"/>
      <c r="X309" s="390"/>
      <c r="Y309" s="390"/>
      <c r="Z309" s="390"/>
      <c r="AA309" s="390"/>
      <c r="AB309" s="390"/>
      <c r="AC309" s="249"/>
      <c r="AD309" s="249"/>
      <c r="AE309" s="249"/>
      <c r="AF309" s="273"/>
      <c r="AG309" s="273"/>
      <c r="AH309" s="273"/>
      <c r="AI309" s="273"/>
      <c r="AJ309" s="273"/>
      <c r="AK309" s="273"/>
      <c r="AL309" s="273"/>
      <c r="AM309" s="273"/>
      <c r="AN309" s="273"/>
      <c r="AO309" s="273"/>
      <c r="AP309" s="273"/>
      <c r="AQ309" s="273"/>
      <c r="AR309" s="273"/>
      <c r="AS309" s="273"/>
      <c r="AT309" s="273"/>
      <c r="AU309" s="273"/>
      <c r="AV309" s="273"/>
      <c r="AW309" s="273"/>
      <c r="AX309" s="273"/>
      <c r="AY309" s="273"/>
      <c r="AZ309" s="273"/>
      <c r="BA309" s="273"/>
      <c r="BB309" s="273"/>
      <c r="BC309" s="273"/>
      <c r="BD309" s="273"/>
      <c r="BE309" s="273"/>
      <c r="BF309" s="273"/>
      <c r="BG309" s="273"/>
      <c r="BH309" s="273"/>
      <c r="BI309" s="273"/>
      <c r="BJ309" s="273"/>
      <c r="BK309" s="273"/>
      <c r="BL309" s="273"/>
      <c r="BM309" s="273"/>
      <c r="BN309" s="273"/>
    </row>
    <row r="310" spans="1:66" s="250" customFormat="1" x14ac:dyDescent="0.25">
      <c r="A310" s="414"/>
      <c r="B310" s="454"/>
      <c r="C310" s="412"/>
      <c r="D310" s="412"/>
      <c r="E310" s="442"/>
      <c r="F310" s="442"/>
      <c r="G310" s="442"/>
      <c r="H310" s="442"/>
      <c r="I310" s="442"/>
      <c r="J310" s="442"/>
      <c r="K310" s="442"/>
      <c r="L310" s="416"/>
      <c r="M310" s="416"/>
      <c r="N310" s="416"/>
      <c r="O310" s="416"/>
      <c r="P310" s="416"/>
      <c r="Q310" s="398"/>
      <c r="R310" s="398"/>
      <c r="S310" s="398"/>
      <c r="T310" s="398"/>
      <c r="U310" s="457"/>
      <c r="V310" s="393"/>
      <c r="W310" s="392"/>
      <c r="X310" s="390"/>
      <c r="Y310" s="390"/>
      <c r="Z310" s="390"/>
      <c r="AA310" s="390"/>
      <c r="AB310" s="390"/>
      <c r="AC310" s="249"/>
      <c r="AD310" s="249"/>
      <c r="AE310" s="249"/>
      <c r="AF310" s="273"/>
      <c r="AG310" s="273"/>
      <c r="AH310" s="273"/>
      <c r="AI310" s="273"/>
      <c r="AJ310" s="273"/>
      <c r="AK310" s="273"/>
      <c r="AL310" s="273"/>
      <c r="AM310" s="273"/>
      <c r="AN310" s="273"/>
      <c r="AO310" s="273"/>
      <c r="AP310" s="273"/>
      <c r="AQ310" s="273"/>
      <c r="AR310" s="273"/>
      <c r="AS310" s="273"/>
      <c r="AT310" s="273"/>
      <c r="AU310" s="273"/>
      <c r="AV310" s="273"/>
      <c r="AW310" s="273"/>
      <c r="AX310" s="273"/>
      <c r="AY310" s="273"/>
      <c r="AZ310" s="273"/>
      <c r="BA310" s="273"/>
      <c r="BB310" s="273"/>
      <c r="BC310" s="273"/>
      <c r="BD310" s="273"/>
      <c r="BE310" s="273"/>
      <c r="BF310" s="273"/>
      <c r="BG310" s="273"/>
      <c r="BH310" s="273"/>
      <c r="BI310" s="273"/>
      <c r="BJ310" s="273"/>
      <c r="BK310" s="273"/>
      <c r="BL310" s="273"/>
      <c r="BM310" s="273"/>
      <c r="BN310" s="273"/>
    </row>
    <row r="311" spans="1:66" s="250" customFormat="1" x14ac:dyDescent="0.25">
      <c r="A311" s="414"/>
      <c r="B311" s="454"/>
      <c r="C311" s="412"/>
      <c r="D311" s="412"/>
      <c r="E311" s="442"/>
      <c r="F311" s="442"/>
      <c r="G311" s="442"/>
      <c r="H311" s="442"/>
      <c r="I311" s="442"/>
      <c r="J311" s="442"/>
      <c r="K311" s="442"/>
      <c r="L311" s="416"/>
      <c r="M311" s="416"/>
      <c r="N311" s="416"/>
      <c r="O311" s="416"/>
      <c r="P311" s="416"/>
      <c r="Q311" s="398"/>
      <c r="R311" s="398"/>
      <c r="S311" s="398"/>
      <c r="T311" s="398"/>
      <c r="U311" s="457"/>
      <c r="V311" s="393"/>
      <c r="W311" s="392"/>
      <c r="X311" s="390"/>
      <c r="Y311" s="390"/>
      <c r="Z311" s="390"/>
      <c r="AA311" s="390"/>
      <c r="AB311" s="390"/>
      <c r="AC311" s="249"/>
      <c r="AD311" s="249"/>
      <c r="AE311" s="249"/>
      <c r="AF311" s="273"/>
      <c r="AG311" s="273"/>
      <c r="AH311" s="273"/>
      <c r="AI311" s="273"/>
      <c r="AJ311" s="273"/>
      <c r="AK311" s="273"/>
      <c r="AL311" s="273"/>
      <c r="AM311" s="273"/>
      <c r="AN311" s="273"/>
      <c r="AO311" s="273"/>
      <c r="AP311" s="273"/>
      <c r="AQ311" s="273"/>
      <c r="AR311" s="273"/>
      <c r="AS311" s="273"/>
      <c r="AT311" s="273"/>
      <c r="AU311" s="273"/>
      <c r="AV311" s="273"/>
      <c r="AW311" s="273"/>
      <c r="AX311" s="273"/>
      <c r="AY311" s="273"/>
      <c r="AZ311" s="273"/>
      <c r="BA311" s="273"/>
      <c r="BB311" s="273"/>
      <c r="BC311" s="273"/>
      <c r="BD311" s="273"/>
      <c r="BE311" s="273"/>
      <c r="BF311" s="273"/>
      <c r="BG311" s="273"/>
      <c r="BH311" s="273"/>
      <c r="BI311" s="273"/>
      <c r="BJ311" s="273"/>
      <c r="BK311" s="273"/>
      <c r="BL311" s="273"/>
      <c r="BM311" s="273"/>
      <c r="BN311" s="273"/>
    </row>
    <row r="312" spans="1:66" s="250" customFormat="1" x14ac:dyDescent="0.25">
      <c r="A312" s="414"/>
      <c r="B312" s="454"/>
      <c r="C312" s="412"/>
      <c r="D312" s="412"/>
      <c r="E312" s="442"/>
      <c r="F312" s="442"/>
      <c r="G312" s="442"/>
      <c r="H312" s="442"/>
      <c r="I312" s="442"/>
      <c r="J312" s="442"/>
      <c r="K312" s="442"/>
      <c r="L312" s="416"/>
      <c r="M312" s="416"/>
      <c r="N312" s="416"/>
      <c r="O312" s="416"/>
      <c r="P312" s="416"/>
      <c r="Q312" s="398"/>
      <c r="R312" s="398"/>
      <c r="S312" s="398"/>
      <c r="T312" s="398"/>
      <c r="U312" s="457"/>
      <c r="V312" s="393"/>
      <c r="W312" s="392"/>
      <c r="X312" s="390"/>
      <c r="Y312" s="390"/>
      <c r="Z312" s="390"/>
      <c r="AA312" s="390"/>
      <c r="AB312" s="390"/>
      <c r="AC312" s="249"/>
      <c r="AD312" s="249"/>
      <c r="AE312" s="249"/>
      <c r="AF312" s="273"/>
      <c r="AG312" s="273"/>
      <c r="AH312" s="273"/>
      <c r="AI312" s="273"/>
      <c r="AJ312" s="273"/>
      <c r="AK312" s="273"/>
      <c r="AL312" s="273"/>
      <c r="AM312" s="273"/>
      <c r="AN312" s="273"/>
      <c r="AO312" s="273"/>
      <c r="AP312" s="273"/>
      <c r="AQ312" s="273"/>
      <c r="AR312" s="273"/>
      <c r="AS312" s="273"/>
      <c r="AT312" s="273"/>
      <c r="AU312" s="273"/>
      <c r="AV312" s="273"/>
      <c r="AW312" s="273"/>
      <c r="AX312" s="273"/>
      <c r="AY312" s="273"/>
      <c r="AZ312" s="273"/>
      <c r="BA312" s="273"/>
      <c r="BB312" s="273"/>
      <c r="BC312" s="273"/>
      <c r="BD312" s="273"/>
      <c r="BE312" s="273"/>
      <c r="BF312" s="273"/>
      <c r="BG312" s="273"/>
      <c r="BH312" s="273"/>
      <c r="BI312" s="273"/>
      <c r="BJ312" s="273"/>
      <c r="BK312" s="273"/>
      <c r="BL312" s="273"/>
      <c r="BM312" s="273"/>
      <c r="BN312" s="273"/>
    </row>
    <row r="313" spans="1:66" s="250" customFormat="1" x14ac:dyDescent="0.25">
      <c r="A313" s="414"/>
      <c r="B313" s="454"/>
      <c r="C313" s="412"/>
      <c r="D313" s="412"/>
      <c r="E313" s="442"/>
      <c r="F313" s="442"/>
      <c r="G313" s="442"/>
      <c r="H313" s="442"/>
      <c r="I313" s="442"/>
      <c r="J313" s="442"/>
      <c r="K313" s="442"/>
      <c r="L313" s="416"/>
      <c r="M313" s="416"/>
      <c r="N313" s="416"/>
      <c r="O313" s="416"/>
      <c r="P313" s="416"/>
      <c r="Q313" s="398"/>
      <c r="R313" s="398"/>
      <c r="S313" s="398"/>
      <c r="T313" s="398"/>
      <c r="U313" s="457"/>
      <c r="V313" s="393"/>
      <c r="W313" s="392"/>
      <c r="X313" s="390"/>
      <c r="Y313" s="390"/>
      <c r="Z313" s="390"/>
      <c r="AA313" s="390"/>
      <c r="AB313" s="390"/>
      <c r="AC313" s="249"/>
      <c r="AD313" s="249"/>
      <c r="AE313" s="249"/>
      <c r="AF313" s="273"/>
      <c r="AG313" s="273"/>
      <c r="AH313" s="273"/>
      <c r="AI313" s="273"/>
      <c r="AJ313" s="273"/>
      <c r="AK313" s="273"/>
      <c r="AL313" s="273"/>
      <c r="AM313" s="273"/>
      <c r="AN313" s="273"/>
      <c r="AO313" s="273"/>
      <c r="AP313" s="273"/>
      <c r="AQ313" s="273"/>
      <c r="AR313" s="273"/>
      <c r="AS313" s="273"/>
      <c r="AT313" s="273"/>
      <c r="AU313" s="273"/>
      <c r="AV313" s="273"/>
      <c r="AW313" s="273"/>
      <c r="AX313" s="273"/>
      <c r="AY313" s="273"/>
      <c r="AZ313" s="273"/>
      <c r="BA313" s="273"/>
      <c r="BB313" s="273"/>
      <c r="BC313" s="273"/>
      <c r="BD313" s="273"/>
      <c r="BE313" s="273"/>
      <c r="BF313" s="273"/>
      <c r="BG313" s="273"/>
      <c r="BH313" s="273"/>
      <c r="BI313" s="273"/>
      <c r="BJ313" s="273"/>
      <c r="BK313" s="273"/>
      <c r="BL313" s="273"/>
      <c r="BM313" s="273"/>
      <c r="BN313" s="273"/>
    </row>
    <row r="314" spans="1:66" s="250" customFormat="1" x14ac:dyDescent="0.25">
      <c r="A314" s="414"/>
      <c r="B314" s="454"/>
      <c r="C314" s="412"/>
      <c r="D314" s="412"/>
      <c r="E314" s="442"/>
      <c r="F314" s="442"/>
      <c r="G314" s="442"/>
      <c r="H314" s="442"/>
      <c r="I314" s="442"/>
      <c r="J314" s="442"/>
      <c r="K314" s="442"/>
      <c r="L314" s="416"/>
      <c r="M314" s="416"/>
      <c r="N314" s="416"/>
      <c r="O314" s="416"/>
      <c r="P314" s="416"/>
      <c r="Q314" s="398"/>
      <c r="R314" s="398"/>
      <c r="S314" s="398"/>
      <c r="T314" s="398"/>
      <c r="U314" s="457"/>
      <c r="V314" s="393"/>
      <c r="W314" s="392"/>
      <c r="X314" s="390"/>
      <c r="Y314" s="390"/>
      <c r="Z314" s="390"/>
      <c r="AA314" s="390"/>
      <c r="AB314" s="390"/>
      <c r="AC314" s="249"/>
      <c r="AD314" s="249"/>
      <c r="AE314" s="249"/>
      <c r="AF314" s="273"/>
      <c r="AG314" s="273"/>
      <c r="AH314" s="273"/>
      <c r="AI314" s="273"/>
      <c r="AJ314" s="273"/>
      <c r="AK314" s="273"/>
      <c r="AL314" s="273"/>
      <c r="AM314" s="273"/>
      <c r="AN314" s="273"/>
      <c r="AO314" s="273"/>
      <c r="AP314" s="273"/>
      <c r="AQ314" s="273"/>
      <c r="AR314" s="273"/>
      <c r="AS314" s="273"/>
      <c r="AT314" s="273"/>
      <c r="AU314" s="273"/>
      <c r="AV314" s="273"/>
      <c r="AW314" s="273"/>
      <c r="AX314" s="273"/>
      <c r="AY314" s="273"/>
      <c r="AZ314" s="273"/>
      <c r="BA314" s="273"/>
      <c r="BB314" s="273"/>
      <c r="BC314" s="273"/>
      <c r="BD314" s="273"/>
      <c r="BE314" s="273"/>
      <c r="BF314" s="273"/>
      <c r="BG314" s="273"/>
      <c r="BH314" s="273"/>
      <c r="BI314" s="273"/>
      <c r="BJ314" s="273"/>
      <c r="BK314" s="273"/>
      <c r="BL314" s="273"/>
      <c r="BM314" s="273"/>
      <c r="BN314" s="273"/>
    </row>
  </sheetData>
  <mergeCells count="7">
    <mergeCell ref="B7:J7"/>
    <mergeCell ref="A1:J1"/>
    <mergeCell ref="A2:J2"/>
    <mergeCell ref="A3:J3"/>
    <mergeCell ref="A4:J4"/>
    <mergeCell ref="A5:J5"/>
    <mergeCell ref="B6:J6"/>
  </mergeCells>
  <phoneticPr fontId="44" type="noConversion"/>
  <dataValidations count="1">
    <dataValidation type="whole" allowBlank="1" showInputMessage="1" showErrorMessage="1" sqref="E95:P100 E88:P90 E109:P137 E10:P14 E18:P84">
      <formula1>0</formula1>
      <formula2>100</formula2>
    </dataValidation>
  </dataValidations>
  <pageMargins left="0.82677165354330717" right="0.15748031496062992" top="0.55118110236220474" bottom="0.74803149606299213" header="0.31496062992125984" footer="0.31496062992125984"/>
  <pageSetup scale="15"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Sheet1!$E$2:$E$20</xm:f>
          </x14:formula1>
          <xm:sqref>R86:R91 R138:S138 R102:R131 S101:S137 R18:R84 S18:S91</xm:sqref>
        </x14:dataValidation>
        <x14:dataValidation type="list" allowBlank="1" showInputMessage="1" showErrorMessage="1">
          <x14:formula1>
            <xm:f>Sheet1!$F$2:$F$26</xm:f>
          </x14:formula1>
          <xm:sqref>A101:A138 A18:A91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6"/>
  <sheetViews>
    <sheetView workbookViewId="0">
      <selection activeCell="H17" sqref="H17"/>
    </sheetView>
  </sheetViews>
  <sheetFormatPr baseColWidth="10" defaultColWidth="9.140625" defaultRowHeight="12.75" x14ac:dyDescent="0.2"/>
  <sheetData>
    <row r="2" spans="2:7" x14ac:dyDescent="0.2">
      <c r="B2" s="280"/>
      <c r="C2" s="280"/>
      <c r="D2" s="280"/>
      <c r="E2" s="280" t="s">
        <v>112</v>
      </c>
      <c r="F2" s="280" t="s">
        <v>97</v>
      </c>
      <c r="G2" s="280"/>
    </row>
    <row r="3" spans="2:7" x14ac:dyDescent="0.2">
      <c r="B3" s="280"/>
      <c r="C3" s="280"/>
      <c r="D3" s="280"/>
      <c r="E3" s="280" t="s">
        <v>120</v>
      </c>
      <c r="F3" s="280" t="s">
        <v>108</v>
      </c>
      <c r="G3" s="280"/>
    </row>
    <row r="4" spans="2:7" x14ac:dyDescent="0.2">
      <c r="B4" s="280"/>
      <c r="C4" s="280"/>
      <c r="D4" s="280"/>
      <c r="E4" s="280" t="s">
        <v>489</v>
      </c>
      <c r="F4" s="280" t="s">
        <v>490</v>
      </c>
      <c r="G4" s="280"/>
    </row>
    <row r="5" spans="2:7" x14ac:dyDescent="0.2">
      <c r="B5" s="280"/>
      <c r="C5" s="280"/>
      <c r="D5" s="280"/>
      <c r="E5" s="280" t="s">
        <v>161</v>
      </c>
      <c r="F5" s="280" t="s">
        <v>491</v>
      </c>
      <c r="G5" s="280"/>
    </row>
    <row r="6" spans="2:7" x14ac:dyDescent="0.2">
      <c r="B6" s="280"/>
      <c r="C6" s="280"/>
      <c r="D6" s="280"/>
      <c r="E6" s="280" t="s">
        <v>131</v>
      </c>
      <c r="F6" s="280" t="s">
        <v>122</v>
      </c>
      <c r="G6" s="280"/>
    </row>
    <row r="7" spans="2:7" x14ac:dyDescent="0.2">
      <c r="B7" s="280"/>
      <c r="C7" s="280"/>
      <c r="D7" s="280"/>
      <c r="E7" s="280" t="s">
        <v>492</v>
      </c>
      <c r="F7" s="280" t="s">
        <v>127</v>
      </c>
      <c r="G7" s="280"/>
    </row>
    <row r="8" spans="2:7" x14ac:dyDescent="0.2">
      <c r="B8" s="280"/>
      <c r="C8" s="280"/>
      <c r="D8" s="280"/>
      <c r="E8" s="280" t="s">
        <v>493</v>
      </c>
      <c r="F8" s="280" t="s">
        <v>139</v>
      </c>
      <c r="G8" s="280"/>
    </row>
    <row r="9" spans="2:7" x14ac:dyDescent="0.2">
      <c r="B9" s="280"/>
      <c r="C9" s="280"/>
      <c r="D9" s="280"/>
      <c r="E9" s="280" t="s">
        <v>415</v>
      </c>
      <c r="F9" s="280" t="s">
        <v>145</v>
      </c>
      <c r="G9" s="280"/>
    </row>
    <row r="10" spans="2:7" x14ac:dyDescent="0.2">
      <c r="B10" s="280"/>
      <c r="C10" s="280"/>
      <c r="D10" s="280"/>
      <c r="E10" s="280" t="s">
        <v>494</v>
      </c>
      <c r="F10" s="280" t="s">
        <v>495</v>
      </c>
      <c r="G10" s="280"/>
    </row>
    <row r="11" spans="2:7" x14ac:dyDescent="0.2">
      <c r="B11" s="280"/>
      <c r="C11" s="280"/>
      <c r="D11" s="280"/>
      <c r="E11" s="280" t="s">
        <v>101</v>
      </c>
      <c r="F11" s="280" t="s">
        <v>496</v>
      </c>
      <c r="G11" s="280"/>
    </row>
    <row r="12" spans="2:7" x14ac:dyDescent="0.2">
      <c r="B12" s="280"/>
      <c r="C12" s="280"/>
      <c r="D12" s="280"/>
      <c r="E12" s="280" t="s">
        <v>143</v>
      </c>
      <c r="F12" s="280" t="s">
        <v>497</v>
      </c>
      <c r="G12" s="280"/>
    </row>
    <row r="13" spans="2:7" x14ac:dyDescent="0.2">
      <c r="B13" s="280"/>
      <c r="C13" s="280"/>
      <c r="D13" s="280"/>
      <c r="E13" s="280" t="s">
        <v>498</v>
      </c>
      <c r="F13" s="280" t="s">
        <v>499</v>
      </c>
      <c r="G13" s="280"/>
    </row>
    <row r="14" spans="2:7" x14ac:dyDescent="0.2">
      <c r="B14" s="280"/>
      <c r="C14" s="280"/>
      <c r="D14" s="280"/>
      <c r="E14" s="280" t="s">
        <v>258</v>
      </c>
      <c r="F14" s="280" t="s">
        <v>500</v>
      </c>
      <c r="G14" s="280"/>
    </row>
    <row r="15" spans="2:7" x14ac:dyDescent="0.2">
      <c r="B15" s="280"/>
      <c r="C15" s="280"/>
      <c r="D15" s="280"/>
      <c r="E15" s="280" t="s">
        <v>501</v>
      </c>
      <c r="F15" s="280" t="s">
        <v>215</v>
      </c>
      <c r="G15" s="280"/>
    </row>
    <row r="16" spans="2:7" x14ac:dyDescent="0.2">
      <c r="B16" s="280"/>
      <c r="C16" s="280"/>
      <c r="D16" s="280"/>
      <c r="E16" s="280" t="s">
        <v>262</v>
      </c>
      <c r="F16" s="280" t="s">
        <v>502</v>
      </c>
      <c r="G16" s="280"/>
    </row>
    <row r="17" spans="2:7" x14ac:dyDescent="0.2">
      <c r="B17" s="280"/>
      <c r="C17" s="280"/>
      <c r="D17" s="280"/>
      <c r="E17" s="280" t="s">
        <v>503</v>
      </c>
      <c r="F17" s="280" t="s">
        <v>241</v>
      </c>
      <c r="G17" s="280"/>
    </row>
    <row r="18" spans="2:7" x14ac:dyDescent="0.2">
      <c r="B18" s="280"/>
      <c r="C18" s="280"/>
      <c r="D18" s="280"/>
      <c r="E18" s="280" t="s">
        <v>411</v>
      </c>
      <c r="F18" s="280" t="s">
        <v>291</v>
      </c>
      <c r="G18" s="280"/>
    </row>
    <row r="19" spans="2:7" x14ac:dyDescent="0.2">
      <c r="B19" s="280"/>
      <c r="C19" s="280"/>
      <c r="D19" s="280"/>
      <c r="E19" s="280" t="s">
        <v>504</v>
      </c>
      <c r="F19" s="280" t="s">
        <v>505</v>
      </c>
      <c r="G19" s="280"/>
    </row>
    <row r="20" spans="2:7" x14ac:dyDescent="0.2">
      <c r="B20" s="280"/>
      <c r="C20" s="280"/>
      <c r="D20" s="280"/>
      <c r="E20" s="280" t="s">
        <v>50</v>
      </c>
      <c r="F20" s="280" t="s">
        <v>506</v>
      </c>
      <c r="G20" s="280"/>
    </row>
    <row r="21" spans="2:7" x14ac:dyDescent="0.2">
      <c r="B21" s="280"/>
      <c r="C21" s="280"/>
      <c r="D21" s="280"/>
      <c r="E21" s="280"/>
      <c r="F21" s="280" t="s">
        <v>389</v>
      </c>
      <c r="G21" s="280"/>
    </row>
    <row r="22" spans="2:7" x14ac:dyDescent="0.2">
      <c r="B22" s="280"/>
      <c r="C22" s="280"/>
      <c r="D22" s="280"/>
      <c r="E22" s="280"/>
      <c r="F22" s="280" t="s">
        <v>417</v>
      </c>
      <c r="G22" s="280"/>
    </row>
    <row r="23" spans="2:7" x14ac:dyDescent="0.2">
      <c r="F23" t="s">
        <v>507</v>
      </c>
    </row>
    <row r="24" spans="2:7" x14ac:dyDescent="0.2">
      <c r="F24" t="s">
        <v>431</v>
      </c>
    </row>
    <row r="25" spans="2:7" x14ac:dyDescent="0.2">
      <c r="F25" t="s">
        <v>456</v>
      </c>
    </row>
    <row r="26" spans="2:7" x14ac:dyDescent="0.2">
      <c r="F26" t="s">
        <v>470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99"/>
  <sheetViews>
    <sheetView workbookViewId="0">
      <selection activeCell="R12" sqref="R12"/>
    </sheetView>
  </sheetViews>
  <sheetFormatPr baseColWidth="10" defaultColWidth="11.42578125" defaultRowHeight="15" x14ac:dyDescent="0.25"/>
  <cols>
    <col min="1" max="1" width="2.5703125" style="56" customWidth="1"/>
    <col min="2" max="6" width="4.28515625" hidden="1" customWidth="1"/>
    <col min="7" max="7" width="18.85546875" style="271" bestFit="1" customWidth="1"/>
    <col min="8" max="8" width="33.85546875" style="271" customWidth="1"/>
    <col min="9" max="9" width="16.42578125" style="271" customWidth="1"/>
    <col min="10" max="10" width="18.28515625" style="271" customWidth="1"/>
    <col min="11" max="11" width="14" style="272" customWidth="1"/>
    <col min="12" max="12" width="15.42578125" style="271" customWidth="1"/>
    <col min="13" max="13" width="13.7109375" style="271" customWidth="1"/>
    <col min="14" max="14" width="22.42578125" style="271" customWidth="1"/>
    <col min="15" max="43" width="11.42578125" style="56"/>
  </cols>
  <sheetData>
    <row r="1" spans="2:21" s="56" customFormat="1" ht="15.75" x14ac:dyDescent="0.25">
      <c r="G1" s="254"/>
      <c r="H1" s="255"/>
      <c r="I1" s="255"/>
      <c r="J1" s="255"/>
      <c r="K1" s="256"/>
      <c r="L1" s="255"/>
      <c r="M1" s="255"/>
      <c r="N1" s="255"/>
      <c r="O1" s="252" t="s">
        <v>69</v>
      </c>
    </row>
    <row r="2" spans="2:21" s="56" customFormat="1" ht="15.75" x14ac:dyDescent="0.25">
      <c r="G2" s="511" t="s">
        <v>1</v>
      </c>
      <c r="H2" s="511"/>
      <c r="I2" s="511"/>
      <c r="J2" s="511"/>
      <c r="K2" s="511"/>
      <c r="L2" s="511"/>
      <c r="M2" s="511"/>
      <c r="N2" s="511"/>
      <c r="O2" s="511"/>
      <c r="P2" s="511"/>
      <c r="Q2" s="258"/>
      <c r="R2" s="259"/>
      <c r="S2" s="260" t="s">
        <v>66</v>
      </c>
      <c r="T2" s="259"/>
      <c r="U2" s="261"/>
    </row>
    <row r="3" spans="2:21" s="56" customFormat="1" x14ac:dyDescent="0.25">
      <c r="G3" s="512" t="s">
        <v>2</v>
      </c>
      <c r="H3" s="512"/>
      <c r="I3" s="512"/>
      <c r="J3" s="512"/>
      <c r="K3" s="512"/>
      <c r="L3" s="512"/>
      <c r="M3" s="512"/>
      <c r="N3" s="512"/>
      <c r="O3" s="512"/>
      <c r="P3" s="512"/>
      <c r="Q3" s="258"/>
      <c r="R3" s="259"/>
      <c r="S3" s="260" t="s">
        <v>508</v>
      </c>
      <c r="T3" s="259"/>
      <c r="U3" s="261"/>
    </row>
    <row r="4" spans="2:21" s="56" customFormat="1" x14ac:dyDescent="0.2">
      <c r="G4" s="513" t="s">
        <v>509</v>
      </c>
      <c r="H4" s="513"/>
      <c r="I4" s="513"/>
      <c r="J4" s="513"/>
      <c r="K4" s="513"/>
      <c r="L4" s="513"/>
      <c r="M4" s="513"/>
      <c r="N4" s="513"/>
      <c r="O4" s="513"/>
      <c r="P4" s="513"/>
      <c r="Q4" s="258"/>
      <c r="R4" s="259"/>
      <c r="S4" s="260" t="s">
        <v>510</v>
      </c>
      <c r="T4" s="259"/>
      <c r="U4" s="261"/>
    </row>
    <row r="5" spans="2:21" s="56" customFormat="1" x14ac:dyDescent="0.25">
      <c r="H5" s="257"/>
      <c r="I5" s="279"/>
      <c r="J5" s="510" t="e">
        <f>+#REF!</f>
        <v>#REF!</v>
      </c>
      <c r="K5" s="510"/>
      <c r="L5" s="257"/>
      <c r="M5" s="257"/>
      <c r="N5" s="257"/>
      <c r="O5" s="257"/>
      <c r="P5" s="257"/>
      <c r="Q5" s="258"/>
      <c r="R5" s="259"/>
      <c r="S5" s="259"/>
      <c r="T5" s="259"/>
      <c r="U5" s="261"/>
    </row>
    <row r="6" spans="2:21" s="56" customFormat="1" x14ac:dyDescent="0.25">
      <c r="G6" s="278" t="s">
        <v>16</v>
      </c>
      <c r="H6" s="509" t="e">
        <f>+#REF!</f>
        <v>#REF!</v>
      </c>
      <c r="I6" s="509"/>
      <c r="J6" s="509"/>
      <c r="K6" s="509"/>
      <c r="L6" s="509"/>
      <c r="M6" s="509"/>
      <c r="N6" s="509"/>
      <c r="O6" s="252"/>
    </row>
    <row r="7" spans="2:21" ht="25.5" customHeight="1" x14ac:dyDescent="0.2">
      <c r="B7" s="262" t="s">
        <v>511</v>
      </c>
      <c r="C7" s="263" t="s">
        <v>512</v>
      </c>
      <c r="D7" s="263" t="s">
        <v>513</v>
      </c>
      <c r="E7" s="263" t="s">
        <v>514</v>
      </c>
      <c r="F7" s="264" t="s">
        <v>515</v>
      </c>
      <c r="G7" s="275" t="s">
        <v>516</v>
      </c>
      <c r="H7" s="276" t="s">
        <v>517</v>
      </c>
      <c r="I7" s="276" t="s">
        <v>19</v>
      </c>
      <c r="J7" s="276" t="s">
        <v>518</v>
      </c>
      <c r="K7" s="277" t="s">
        <v>519</v>
      </c>
      <c r="L7" s="276" t="s">
        <v>520</v>
      </c>
      <c r="M7" s="276" t="s">
        <v>521</v>
      </c>
      <c r="N7" s="276" t="s">
        <v>522</v>
      </c>
    </row>
    <row r="8" spans="2:21" ht="12.75" x14ac:dyDescent="0.2">
      <c r="B8" s="14" t="str">
        <f>IF(Tabla1[[#This Row],[Código_Actividad]]="","",CONCATENATE(Tabla1[[#This Row],[POA]],".",Tabla1[[#This Row],[SRS]],".",Tabla1[[#This Row],[AREA]],".",Tabla1[[#This Row],[TIPO]]))</f>
        <v>...</v>
      </c>
      <c r="C8" s="14" t="s">
        <v>523</v>
      </c>
      <c r="D8" s="14" t="s">
        <v>523</v>
      </c>
      <c r="E8" s="14" t="s">
        <v>523</v>
      </c>
      <c r="F8" s="14" t="s">
        <v>523</v>
      </c>
      <c r="G8" s="265" t="s">
        <v>524</v>
      </c>
      <c r="H8" s="266" t="s">
        <v>525</v>
      </c>
      <c r="I8" s="266" t="s">
        <v>526</v>
      </c>
      <c r="J8" s="265">
        <v>1</v>
      </c>
      <c r="K8" s="267">
        <v>35000</v>
      </c>
      <c r="L8" s="268">
        <f>+Tabla1[[#This Row],[Precio Unitario]]*Tabla1[[#This Row],[Cantidad de Insumos]]</f>
        <v>35000</v>
      </c>
      <c r="M8" s="269" t="s">
        <v>527</v>
      </c>
      <c r="N8" s="266" t="s">
        <v>508</v>
      </c>
    </row>
    <row r="9" spans="2:21" ht="12.75" x14ac:dyDescent="0.2">
      <c r="B9" s="14" t="str">
        <f>IF(Tabla1[[#This Row],[Código_Actividad]]="","",CONCATENATE(Tabla1[[#This Row],[POA]],".",Tabla1[[#This Row],[SRS]],".",Tabla1[[#This Row],[AREA]],".",Tabla1[[#This Row],[TIPO]]))</f>
        <v/>
      </c>
      <c r="C9" s="14"/>
      <c r="D9" s="14"/>
      <c r="E9" s="14"/>
      <c r="F9" s="14"/>
      <c r="G9" s="265"/>
      <c r="H9" s="266" t="s">
        <v>528</v>
      </c>
      <c r="I9" s="405" t="s">
        <v>526</v>
      </c>
      <c r="J9" s="265">
        <v>2</v>
      </c>
      <c r="K9" s="268">
        <v>15</v>
      </c>
      <c r="L9" s="268">
        <f>+Tabla1[[#This Row],[Precio Unitario]]*Tabla1[[#This Row],[Cantidad de Insumos]]</f>
        <v>30</v>
      </c>
      <c r="M9" s="269" t="s">
        <v>529</v>
      </c>
      <c r="N9" s="266" t="s">
        <v>66</v>
      </c>
    </row>
    <row r="10" spans="2:21" ht="12.75" x14ac:dyDescent="0.2">
      <c r="B10" s="14" t="str">
        <f>IF(Tabla1[[#This Row],[Código_Actividad]]="","",CONCATENATE(Tabla1[[#This Row],[POA]],".",Tabla1[[#This Row],[SRS]],".",Tabla1[[#This Row],[AREA]],".",Tabla1[[#This Row],[TIPO]]))</f>
        <v/>
      </c>
      <c r="C10" s="14"/>
      <c r="D10" s="14"/>
      <c r="E10" s="14"/>
      <c r="F10" s="14"/>
      <c r="G10" s="265"/>
      <c r="H10" s="266" t="s">
        <v>530</v>
      </c>
      <c r="I10" s="405" t="s">
        <v>526</v>
      </c>
      <c r="J10" s="265">
        <v>4</v>
      </c>
      <c r="K10" s="268">
        <v>30</v>
      </c>
      <c r="L10" s="268">
        <f>+Tabla1[[#This Row],[Precio Unitario]]*Tabla1[[#This Row],[Cantidad de Insumos]]</f>
        <v>120</v>
      </c>
      <c r="M10" s="269" t="s">
        <v>529</v>
      </c>
      <c r="N10" s="266" t="s">
        <v>66</v>
      </c>
    </row>
    <row r="11" spans="2:21" ht="12.75" x14ac:dyDescent="0.2">
      <c r="B11" s="14" t="str">
        <f>IF(Tabla1[[#This Row],[Código_Actividad]]="","",CONCATENATE(Tabla1[[#This Row],[POA]],".",Tabla1[[#This Row],[SRS]],".",Tabla1[[#This Row],[AREA]],".",Tabla1[[#This Row],[TIPO]]))</f>
        <v/>
      </c>
      <c r="C11" s="14"/>
      <c r="D11" s="14"/>
      <c r="E11" s="14"/>
      <c r="F11" s="14"/>
      <c r="G11" s="265"/>
      <c r="H11" s="266" t="s">
        <v>531</v>
      </c>
      <c r="I11" s="405" t="s">
        <v>532</v>
      </c>
      <c r="J11" s="265">
        <v>1</v>
      </c>
      <c r="K11" s="268">
        <v>150</v>
      </c>
      <c r="L11" s="268">
        <f>+Tabla1[[#This Row],[Precio Unitario]]*Tabla1[[#This Row],[Cantidad de Insumos]]</f>
        <v>150</v>
      </c>
      <c r="M11" s="269" t="s">
        <v>533</v>
      </c>
      <c r="N11" s="266" t="s">
        <v>66</v>
      </c>
    </row>
    <row r="12" spans="2:21" ht="12.75" x14ac:dyDescent="0.2">
      <c r="B12" s="14" t="str">
        <f>IF(Tabla1[[#This Row],[Código_Actividad]]="","",CONCATENATE(Tabla1[[#This Row],[POA]],".",Tabla1[[#This Row],[SRS]],".",Tabla1[[#This Row],[AREA]],".",Tabla1[[#This Row],[TIPO]]))</f>
        <v/>
      </c>
      <c r="C12" s="14"/>
      <c r="D12" s="14"/>
      <c r="E12" s="14"/>
      <c r="F12" s="14"/>
      <c r="G12" s="265"/>
      <c r="H12" s="266" t="s">
        <v>534</v>
      </c>
      <c r="I12" s="266" t="s">
        <v>526</v>
      </c>
      <c r="J12" s="265">
        <v>1</v>
      </c>
      <c r="K12" s="268">
        <v>1400</v>
      </c>
      <c r="L12" s="268">
        <f>+Tabla1[[#This Row],[Precio Unitario]]*Tabla1[[#This Row],[Cantidad de Insumos]]</f>
        <v>1400</v>
      </c>
      <c r="M12" s="269" t="s">
        <v>529</v>
      </c>
      <c r="N12" s="266" t="s">
        <v>66</v>
      </c>
    </row>
    <row r="13" spans="2:21" ht="12.75" x14ac:dyDescent="0.2">
      <c r="B13" s="14" t="str">
        <f>IF(Tabla1[[#This Row],[Código_Actividad]]="","",CONCATENATE(Tabla1[[#This Row],[POA]],".",Tabla1[[#This Row],[SRS]],".",Tabla1[[#This Row],[AREA]],".",Tabla1[[#This Row],[TIPO]]))</f>
        <v/>
      </c>
      <c r="C13" s="14"/>
      <c r="D13" s="14"/>
      <c r="E13" s="14"/>
      <c r="F13" s="14"/>
      <c r="G13" s="265"/>
      <c r="H13" s="266" t="s">
        <v>535</v>
      </c>
      <c r="I13" s="266" t="s">
        <v>536</v>
      </c>
      <c r="J13" s="265">
        <v>1</v>
      </c>
      <c r="K13" s="268">
        <v>500</v>
      </c>
      <c r="L13" s="268">
        <f>+Tabla1[[#This Row],[Precio Unitario]]*Tabla1[[#This Row],[Cantidad de Insumos]]</f>
        <v>500</v>
      </c>
      <c r="M13" s="269" t="s">
        <v>533</v>
      </c>
      <c r="N13" s="266" t="s">
        <v>66</v>
      </c>
    </row>
    <row r="14" spans="2:21" ht="12.75" x14ac:dyDescent="0.2">
      <c r="B14" s="14" t="str">
        <f>IF(Tabla1[[#This Row],[Código_Actividad]]="","",CONCATENATE(Tabla1[[#This Row],[POA]],".",Tabla1[[#This Row],[SRS]],".",Tabla1[[#This Row],[AREA]],".",Tabla1[[#This Row],[TIPO]]))</f>
        <v/>
      </c>
      <c r="C14" s="14"/>
      <c r="D14" s="14"/>
      <c r="E14" s="14"/>
      <c r="F14" s="14"/>
      <c r="G14" s="265"/>
      <c r="H14" s="266" t="s">
        <v>537</v>
      </c>
      <c r="I14" s="266" t="s">
        <v>526</v>
      </c>
      <c r="J14" s="265">
        <v>1</v>
      </c>
      <c r="K14" s="268">
        <v>180</v>
      </c>
      <c r="L14" s="268">
        <f>+Tabla1[[#This Row],[Precio Unitario]]*Tabla1[[#This Row],[Cantidad de Insumos]]</f>
        <v>180</v>
      </c>
      <c r="M14" s="269" t="s">
        <v>538</v>
      </c>
      <c r="N14" s="266" t="s">
        <v>66</v>
      </c>
    </row>
    <row r="15" spans="2:21" ht="12.75" x14ac:dyDescent="0.2">
      <c r="B15" s="14" t="str">
        <f>IF(Tabla1[[#This Row],[Código_Actividad]]="","",CONCATENATE(Tabla1[[#This Row],[POA]],".",Tabla1[[#This Row],[SRS]],".",Tabla1[[#This Row],[AREA]],".",Tabla1[[#This Row],[TIPO]]))</f>
        <v/>
      </c>
      <c r="C15" s="14"/>
      <c r="D15" s="14"/>
      <c r="E15" s="14"/>
      <c r="F15" s="14"/>
      <c r="G15" s="265"/>
      <c r="H15" s="266" t="s">
        <v>539</v>
      </c>
      <c r="I15" s="266" t="s">
        <v>540</v>
      </c>
      <c r="J15" s="265">
        <v>1</v>
      </c>
      <c r="K15" s="268">
        <v>120</v>
      </c>
      <c r="L15" s="268">
        <f>+Tabla1[[#This Row],[Precio Unitario]]*Tabla1[[#This Row],[Cantidad de Insumos]]</f>
        <v>120</v>
      </c>
      <c r="M15" s="269" t="s">
        <v>529</v>
      </c>
      <c r="N15" s="266" t="s">
        <v>66</v>
      </c>
    </row>
    <row r="16" spans="2:21" ht="12.75" x14ac:dyDescent="0.2">
      <c r="B16" s="14" t="str">
        <f>IF(Tabla1[[#This Row],[Código_Actividad]]="","",CONCATENATE(Tabla1[[#This Row],[POA]],".",Tabla1[[#This Row],[SRS]],".",Tabla1[[#This Row],[AREA]],".",Tabla1[[#This Row],[TIPO]]))</f>
        <v/>
      </c>
      <c r="C16" s="14"/>
      <c r="D16" s="14"/>
      <c r="E16" s="14"/>
      <c r="F16" s="14"/>
      <c r="G16" s="265"/>
      <c r="H16" s="266" t="s">
        <v>541</v>
      </c>
      <c r="I16" s="266" t="s">
        <v>526</v>
      </c>
      <c r="J16" s="265">
        <v>1</v>
      </c>
      <c r="K16" s="268">
        <v>4500</v>
      </c>
      <c r="L16" s="268">
        <f>+Tabla1[[#This Row],[Precio Unitario]]*Tabla1[[#This Row],[Cantidad de Insumos]]</f>
        <v>4500</v>
      </c>
      <c r="M16" s="269" t="s">
        <v>542</v>
      </c>
      <c r="N16" s="266" t="s">
        <v>66</v>
      </c>
    </row>
    <row r="17" spans="2:14" ht="12.75" x14ac:dyDescent="0.2">
      <c r="B17" s="14" t="str">
        <f>IF(Tabla1[[#This Row],[Código_Actividad]]="","",CONCATENATE(Tabla1[[#This Row],[POA]],".",Tabla1[[#This Row],[SRS]],".",Tabla1[[#This Row],[AREA]],".",Tabla1[[#This Row],[TIPO]]))</f>
        <v/>
      </c>
      <c r="C17" s="14"/>
      <c r="D17" s="14"/>
      <c r="E17" s="14"/>
      <c r="F17" s="14"/>
      <c r="G17" s="265"/>
      <c r="H17" s="266" t="s">
        <v>543</v>
      </c>
      <c r="I17" s="266" t="s">
        <v>540</v>
      </c>
      <c r="J17" s="265">
        <v>1</v>
      </c>
      <c r="K17" s="268">
        <v>600</v>
      </c>
      <c r="L17" s="268">
        <f>+Tabla1[[#This Row],[Precio Unitario]]*Tabla1[[#This Row],[Cantidad de Insumos]]</f>
        <v>600</v>
      </c>
      <c r="M17" s="269" t="s">
        <v>529</v>
      </c>
      <c r="N17" s="266" t="s">
        <v>66</v>
      </c>
    </row>
    <row r="18" spans="2:14" ht="12.75" x14ac:dyDescent="0.2">
      <c r="B18" s="14" t="str">
        <f>IF(Tabla1[[#This Row],[Código_Actividad]]="","",CONCATENATE(Tabla1[[#This Row],[POA]],".",Tabla1[[#This Row],[SRS]],".",Tabla1[[#This Row],[AREA]],".",Tabla1[[#This Row],[TIPO]]))</f>
        <v/>
      </c>
      <c r="C18" s="14"/>
      <c r="D18" s="14"/>
      <c r="E18" s="14"/>
      <c r="F18" s="14"/>
      <c r="G18" s="265"/>
      <c r="H18" s="266" t="s">
        <v>544</v>
      </c>
      <c r="I18" s="266" t="s">
        <v>540</v>
      </c>
      <c r="J18" s="265">
        <v>1</v>
      </c>
      <c r="K18" s="268">
        <v>1200</v>
      </c>
      <c r="L18" s="268">
        <f>+Tabla1[[#This Row],[Precio Unitario]]*Tabla1[[#This Row],[Cantidad de Insumos]]</f>
        <v>1200</v>
      </c>
      <c r="M18" s="269" t="s">
        <v>545</v>
      </c>
      <c r="N18" s="266" t="s">
        <v>66</v>
      </c>
    </row>
    <row r="19" spans="2:14" ht="12.75" x14ac:dyDescent="0.2">
      <c r="B19" s="14" t="str">
        <f>IF(Tabla1[[#This Row],[Código_Actividad]]="","",CONCATENATE(Tabla1[[#This Row],[POA]],".",Tabla1[[#This Row],[SRS]],".",Tabla1[[#This Row],[AREA]],".",Tabla1[[#This Row],[TIPO]]))</f>
        <v/>
      </c>
      <c r="C19" s="14"/>
      <c r="D19" s="14"/>
      <c r="E19" s="14"/>
      <c r="F19" s="14"/>
      <c r="G19" s="265"/>
      <c r="H19" s="266" t="s">
        <v>546</v>
      </c>
      <c r="I19" s="266" t="s">
        <v>526</v>
      </c>
      <c r="J19" s="265">
        <v>1</v>
      </c>
      <c r="K19" s="268">
        <v>100</v>
      </c>
      <c r="L19" s="268">
        <f>+Tabla1[[#This Row],[Precio Unitario]]*Tabla1[[#This Row],[Cantidad de Insumos]]</f>
        <v>100</v>
      </c>
      <c r="M19" s="269" t="s">
        <v>529</v>
      </c>
      <c r="N19" s="266" t="s">
        <v>508</v>
      </c>
    </row>
    <row r="20" spans="2:14" ht="12.75" x14ac:dyDescent="0.2">
      <c r="B20" s="14" t="str">
        <f>IF(Tabla1[[#This Row],[Código_Actividad]]="","",CONCATENATE(Tabla1[[#This Row],[POA]],".",Tabla1[[#This Row],[SRS]],".",Tabla1[[#This Row],[AREA]],".",Tabla1[[#This Row],[TIPO]]))</f>
        <v>...</v>
      </c>
      <c r="C20" s="14" t="s">
        <v>523</v>
      </c>
      <c r="D20" s="14" t="s">
        <v>523</v>
      </c>
      <c r="E20" s="14" t="s">
        <v>523</v>
      </c>
      <c r="F20" s="14" t="s">
        <v>523</v>
      </c>
      <c r="G20" s="265" t="s">
        <v>114</v>
      </c>
      <c r="H20" s="266" t="s">
        <v>525</v>
      </c>
      <c r="I20" s="266" t="s">
        <v>526</v>
      </c>
      <c r="J20" s="265">
        <v>1</v>
      </c>
      <c r="K20" s="267">
        <v>35000</v>
      </c>
      <c r="L20" s="268">
        <f>+Tabla1[[#This Row],[Precio Unitario]]*Tabla1[[#This Row],[Cantidad de Insumos]]</f>
        <v>35000</v>
      </c>
      <c r="M20" s="269" t="s">
        <v>527</v>
      </c>
      <c r="N20" s="266" t="s">
        <v>508</v>
      </c>
    </row>
    <row r="21" spans="2:14" ht="12.75" x14ac:dyDescent="0.2">
      <c r="B21" s="14" t="str">
        <f>IF(Tabla1[[#This Row],[Código_Actividad]]="","",CONCATENATE(Tabla1[[#This Row],[POA]],".",Tabla1[[#This Row],[SRS]],".",Tabla1[[#This Row],[AREA]],".",Tabla1[[#This Row],[TIPO]]))</f>
        <v/>
      </c>
      <c r="C21" s="14"/>
      <c r="D21" s="14"/>
      <c r="E21" s="14"/>
      <c r="F21" s="14"/>
      <c r="G21" s="265"/>
      <c r="H21" s="266" t="s">
        <v>547</v>
      </c>
      <c r="I21" s="266" t="s">
        <v>526</v>
      </c>
      <c r="J21" s="265">
        <v>1</v>
      </c>
      <c r="K21" s="268">
        <v>60000</v>
      </c>
      <c r="L21" s="268">
        <f>+Tabla1[[#This Row],[Precio Unitario]]*Tabla1[[#This Row],[Cantidad de Insumos]]</f>
        <v>60000</v>
      </c>
      <c r="M21" s="269" t="s">
        <v>527</v>
      </c>
      <c r="N21" s="266" t="s">
        <v>508</v>
      </c>
    </row>
    <row r="22" spans="2:14" ht="12.75" x14ac:dyDescent="0.2">
      <c r="B22" s="14" t="str">
        <f>IF(Tabla1[[#This Row],[Código_Actividad]]="","",CONCATENATE(Tabla1[[#This Row],[POA]],".",Tabla1[[#This Row],[SRS]],".",Tabla1[[#This Row],[AREA]],".",Tabla1[[#This Row],[TIPO]]))</f>
        <v/>
      </c>
      <c r="C22" s="14"/>
      <c r="D22" s="14"/>
      <c r="E22" s="14"/>
      <c r="F22" s="14"/>
      <c r="G22" s="265"/>
      <c r="H22" s="266" t="s">
        <v>534</v>
      </c>
      <c r="I22" s="266" t="s">
        <v>526</v>
      </c>
      <c r="J22" s="265">
        <v>1</v>
      </c>
      <c r="K22" s="268">
        <v>1400</v>
      </c>
      <c r="L22" s="268">
        <f>+Tabla1[[#This Row],[Precio Unitario]]*Tabla1[[#This Row],[Cantidad de Insumos]]</f>
        <v>1400</v>
      </c>
      <c r="M22" s="269" t="s">
        <v>529</v>
      </c>
      <c r="N22" s="266" t="s">
        <v>66</v>
      </c>
    </row>
    <row r="23" spans="2:14" ht="12.75" x14ac:dyDescent="0.2">
      <c r="B23" s="14" t="str">
        <f>IF(Tabla1[[#This Row],[Código_Actividad]]="","",CONCATENATE(Tabla1[[#This Row],[POA]],".",Tabla1[[#This Row],[SRS]],".",Tabla1[[#This Row],[AREA]],".",Tabla1[[#This Row],[TIPO]]))</f>
        <v/>
      </c>
      <c r="C23" s="14"/>
      <c r="D23" s="14"/>
      <c r="E23" s="14"/>
      <c r="F23" s="14"/>
      <c r="G23" s="265"/>
      <c r="H23" s="266" t="s">
        <v>535</v>
      </c>
      <c r="I23" s="266" t="s">
        <v>536</v>
      </c>
      <c r="J23" s="265">
        <v>1</v>
      </c>
      <c r="K23" s="268">
        <v>500</v>
      </c>
      <c r="L23" s="268">
        <f>+Tabla1[[#This Row],[Precio Unitario]]*Tabla1[[#This Row],[Cantidad de Insumos]]</f>
        <v>500</v>
      </c>
      <c r="M23" s="269" t="s">
        <v>533</v>
      </c>
      <c r="N23" s="266" t="s">
        <v>66</v>
      </c>
    </row>
    <row r="24" spans="2:14" ht="12.75" x14ac:dyDescent="0.2">
      <c r="B24" s="14" t="str">
        <f>IF(Tabla1[[#This Row],[Código_Actividad]]="","",CONCATENATE(Tabla1[[#This Row],[POA]],".",Tabla1[[#This Row],[SRS]],".",Tabla1[[#This Row],[AREA]],".",Tabla1[[#This Row],[TIPO]]))</f>
        <v/>
      </c>
      <c r="C24" s="14"/>
      <c r="D24" s="14"/>
      <c r="E24" s="14"/>
      <c r="F24" s="14"/>
      <c r="G24" s="265"/>
      <c r="H24" s="266" t="s">
        <v>537</v>
      </c>
      <c r="I24" s="266" t="s">
        <v>526</v>
      </c>
      <c r="J24" s="265">
        <v>1</v>
      </c>
      <c r="K24" s="268">
        <v>180</v>
      </c>
      <c r="L24" s="268">
        <f>+Tabla1[[#This Row],[Precio Unitario]]*Tabla1[[#This Row],[Cantidad de Insumos]]</f>
        <v>180</v>
      </c>
      <c r="M24" s="269" t="s">
        <v>538</v>
      </c>
      <c r="N24" s="266" t="s">
        <v>66</v>
      </c>
    </row>
    <row r="25" spans="2:14" ht="12.75" x14ac:dyDescent="0.2">
      <c r="B25" s="14" t="str">
        <f>IF(Tabla1[[#This Row],[Código_Actividad]]="","",CONCATENATE(Tabla1[[#This Row],[POA]],".",Tabla1[[#This Row],[SRS]],".",Tabla1[[#This Row],[AREA]],".",Tabla1[[#This Row],[TIPO]]))</f>
        <v/>
      </c>
      <c r="C25" s="14"/>
      <c r="D25" s="14"/>
      <c r="E25" s="14"/>
      <c r="F25" s="14"/>
      <c r="G25" s="265"/>
      <c r="H25" s="266" t="s">
        <v>539</v>
      </c>
      <c r="I25" s="266" t="s">
        <v>540</v>
      </c>
      <c r="J25" s="265">
        <v>1</v>
      </c>
      <c r="K25" s="268">
        <v>120</v>
      </c>
      <c r="L25" s="268">
        <f>+Tabla1[[#This Row],[Precio Unitario]]*Tabla1[[#This Row],[Cantidad de Insumos]]</f>
        <v>120</v>
      </c>
      <c r="M25" s="269" t="s">
        <v>529</v>
      </c>
      <c r="N25" s="266" t="s">
        <v>66</v>
      </c>
    </row>
    <row r="26" spans="2:14" ht="12.75" x14ac:dyDescent="0.2">
      <c r="B26" s="14" t="str">
        <f>IF(Tabla1[[#This Row],[Código_Actividad]]="","",CONCATENATE(Tabla1[[#This Row],[POA]],".",Tabla1[[#This Row],[SRS]],".",Tabla1[[#This Row],[AREA]],".",Tabla1[[#This Row],[TIPO]]))</f>
        <v/>
      </c>
      <c r="C26" s="14"/>
      <c r="D26" s="14"/>
      <c r="E26" s="14"/>
      <c r="F26" s="14"/>
      <c r="G26" s="265"/>
      <c r="H26" s="266" t="s">
        <v>541</v>
      </c>
      <c r="I26" s="266" t="s">
        <v>526</v>
      </c>
      <c r="J26" s="265">
        <v>1</v>
      </c>
      <c r="K26" s="268">
        <v>4500</v>
      </c>
      <c r="L26" s="268">
        <f>+Tabla1[[#This Row],[Precio Unitario]]*Tabla1[[#This Row],[Cantidad de Insumos]]</f>
        <v>4500</v>
      </c>
      <c r="M26" s="269" t="s">
        <v>542</v>
      </c>
      <c r="N26" s="266" t="s">
        <v>66</v>
      </c>
    </row>
    <row r="27" spans="2:14" ht="12.75" x14ac:dyDescent="0.2">
      <c r="B27" s="14" t="str">
        <f>IF(Tabla1[[#This Row],[Código_Actividad]]="","",CONCATENATE(Tabla1[[#This Row],[POA]],".",Tabla1[[#This Row],[SRS]],".",Tabla1[[#This Row],[AREA]],".",Tabla1[[#This Row],[TIPO]]))</f>
        <v/>
      </c>
      <c r="C27" s="14"/>
      <c r="D27" s="14"/>
      <c r="E27" s="14"/>
      <c r="F27" s="14"/>
      <c r="G27" s="265"/>
      <c r="H27" s="266" t="s">
        <v>543</v>
      </c>
      <c r="I27" s="266" t="s">
        <v>540</v>
      </c>
      <c r="J27" s="265">
        <v>1</v>
      </c>
      <c r="K27" s="268">
        <v>600</v>
      </c>
      <c r="L27" s="268">
        <f>+Tabla1[[#This Row],[Precio Unitario]]*Tabla1[[#This Row],[Cantidad de Insumos]]</f>
        <v>600</v>
      </c>
      <c r="M27" s="269" t="s">
        <v>529</v>
      </c>
      <c r="N27" s="266" t="s">
        <v>66</v>
      </c>
    </row>
    <row r="28" spans="2:14" ht="12.75" x14ac:dyDescent="0.2">
      <c r="B28" s="14" t="str">
        <f>IF(Tabla1[[#This Row],[Código_Actividad]]="","",CONCATENATE(Tabla1[[#This Row],[POA]],".",Tabla1[[#This Row],[SRS]],".",Tabla1[[#This Row],[AREA]],".",Tabla1[[#This Row],[TIPO]]))</f>
        <v/>
      </c>
      <c r="C28" s="14"/>
      <c r="D28" s="14"/>
      <c r="E28" s="14"/>
      <c r="F28" s="14"/>
      <c r="G28" s="265"/>
      <c r="H28" s="266" t="s">
        <v>530</v>
      </c>
      <c r="I28" s="405" t="s">
        <v>526</v>
      </c>
      <c r="J28" s="265">
        <v>4</v>
      </c>
      <c r="K28" s="268">
        <v>30</v>
      </c>
      <c r="L28" s="268">
        <f>+Tabla1[[#This Row],[Precio Unitario]]*Tabla1[[#This Row],[Cantidad de Insumos]]</f>
        <v>120</v>
      </c>
      <c r="M28" s="269" t="s">
        <v>529</v>
      </c>
      <c r="N28" s="266" t="s">
        <v>66</v>
      </c>
    </row>
    <row r="29" spans="2:14" ht="12.75" x14ac:dyDescent="0.2">
      <c r="B29" s="14" t="str">
        <f>IF(Tabla1[[#This Row],[Código_Actividad]]="","",CONCATENATE(Tabla1[[#This Row],[POA]],".",Tabla1[[#This Row],[SRS]],".",Tabla1[[#This Row],[AREA]],".",Tabla1[[#This Row],[TIPO]]))</f>
        <v/>
      </c>
      <c r="C29" s="14"/>
      <c r="D29" s="14"/>
      <c r="E29" s="14"/>
      <c r="F29" s="14"/>
      <c r="G29" s="265"/>
      <c r="H29" s="266" t="s">
        <v>531</v>
      </c>
      <c r="I29" s="405" t="s">
        <v>532</v>
      </c>
      <c r="J29" s="265">
        <v>1</v>
      </c>
      <c r="K29" s="268">
        <v>150</v>
      </c>
      <c r="L29" s="268">
        <f>+Tabla1[[#This Row],[Precio Unitario]]*Tabla1[[#This Row],[Cantidad de Insumos]]</f>
        <v>150</v>
      </c>
      <c r="M29" s="269" t="s">
        <v>533</v>
      </c>
      <c r="N29" s="266" t="s">
        <v>66</v>
      </c>
    </row>
    <row r="30" spans="2:14" ht="12.75" x14ac:dyDescent="0.2">
      <c r="B30" s="14" t="str">
        <f>IF(Tabla1[[#This Row],[Código_Actividad]]="","",CONCATENATE(Tabla1[[#This Row],[POA]],".",Tabla1[[#This Row],[SRS]],".",Tabla1[[#This Row],[AREA]],".",Tabla1[[#This Row],[TIPO]]))</f>
        <v/>
      </c>
      <c r="C30" s="14"/>
      <c r="D30" s="14"/>
      <c r="E30" s="14"/>
      <c r="F30" s="14"/>
      <c r="G30" s="265"/>
      <c r="H30" s="266" t="s">
        <v>544</v>
      </c>
      <c r="I30" s="266" t="s">
        <v>540</v>
      </c>
      <c r="J30" s="265">
        <v>1</v>
      </c>
      <c r="K30" s="268">
        <v>1200</v>
      </c>
      <c r="L30" s="268">
        <f>+Tabla1[[#This Row],[Precio Unitario]]*Tabla1[[#This Row],[Cantidad de Insumos]]</f>
        <v>1200</v>
      </c>
      <c r="M30" s="269" t="s">
        <v>545</v>
      </c>
      <c r="N30" s="266" t="s">
        <v>66</v>
      </c>
    </row>
    <row r="31" spans="2:14" ht="12.75" x14ac:dyDescent="0.2">
      <c r="B31" s="14" t="str">
        <f>IF(Tabla1[[#This Row],[Código_Actividad]]="","",CONCATENATE(Tabla1[[#This Row],[POA]],".",Tabla1[[#This Row],[SRS]],".",Tabla1[[#This Row],[AREA]],".",Tabla1[[#This Row],[TIPO]]))</f>
        <v/>
      </c>
      <c r="C31" s="14"/>
      <c r="D31" s="14"/>
      <c r="E31" s="14"/>
      <c r="F31" s="14"/>
      <c r="G31" s="265"/>
      <c r="H31" s="266" t="s">
        <v>546</v>
      </c>
      <c r="I31" s="266" t="s">
        <v>526</v>
      </c>
      <c r="J31" s="265">
        <v>1</v>
      </c>
      <c r="K31" s="268">
        <v>100</v>
      </c>
      <c r="L31" s="268">
        <f>+Tabla1[[#This Row],[Precio Unitario]]*Tabla1[[#This Row],[Cantidad de Insumos]]</f>
        <v>100</v>
      </c>
      <c r="M31" s="269" t="s">
        <v>529</v>
      </c>
      <c r="N31" s="266" t="s">
        <v>508</v>
      </c>
    </row>
    <row r="32" spans="2:14" ht="12.75" x14ac:dyDescent="0.2">
      <c r="B32" s="14" t="str">
        <f>IF(Tabla1[[#This Row],[Código_Actividad]]="","",CONCATENATE(Tabla1[[#This Row],[POA]],".",Tabla1[[#This Row],[SRS]],".",Tabla1[[#This Row],[AREA]],".",Tabla1[[#This Row],[TIPO]]))</f>
        <v>...</v>
      </c>
      <c r="C32" s="14" t="s">
        <v>523</v>
      </c>
      <c r="D32" s="14" t="s">
        <v>523</v>
      </c>
      <c r="E32" s="14" t="s">
        <v>523</v>
      </c>
      <c r="F32" s="14" t="s">
        <v>523</v>
      </c>
      <c r="G32" s="265" t="s">
        <v>118</v>
      </c>
      <c r="H32" s="266" t="s">
        <v>525</v>
      </c>
      <c r="I32" s="266" t="s">
        <v>526</v>
      </c>
      <c r="J32" s="265">
        <v>1</v>
      </c>
      <c r="K32" s="267">
        <v>35000</v>
      </c>
      <c r="L32" s="268">
        <f>+Tabla1[[#This Row],[Precio Unitario]]*Tabla1[[#This Row],[Cantidad de Insumos]]</f>
        <v>35000</v>
      </c>
      <c r="M32" s="269" t="s">
        <v>527</v>
      </c>
      <c r="N32" s="266" t="s">
        <v>508</v>
      </c>
    </row>
    <row r="33" spans="2:14" ht="12.75" x14ac:dyDescent="0.2">
      <c r="B33" s="14" t="str">
        <f>IF(Tabla1[[#This Row],[Código_Actividad]]="","",CONCATENATE(Tabla1[[#This Row],[POA]],".",Tabla1[[#This Row],[SRS]],".",Tabla1[[#This Row],[AREA]],".",Tabla1[[#This Row],[TIPO]]))</f>
        <v/>
      </c>
      <c r="C33" s="14"/>
      <c r="D33" s="14"/>
      <c r="E33" s="14"/>
      <c r="F33" s="14"/>
      <c r="G33" s="265"/>
      <c r="H33" s="266" t="s">
        <v>534</v>
      </c>
      <c r="I33" s="266" t="s">
        <v>526</v>
      </c>
      <c r="J33" s="265">
        <v>1</v>
      </c>
      <c r="K33" s="268">
        <v>1400</v>
      </c>
      <c r="L33" s="268">
        <f>+Tabla1[[#This Row],[Precio Unitario]]*Tabla1[[#This Row],[Cantidad de Insumos]]</f>
        <v>1400</v>
      </c>
      <c r="M33" s="269" t="s">
        <v>529</v>
      </c>
      <c r="N33" s="266" t="s">
        <v>66</v>
      </c>
    </row>
    <row r="34" spans="2:14" ht="12.75" x14ac:dyDescent="0.2">
      <c r="B34" s="14" t="str">
        <f>IF(Tabla1[[#This Row],[Código_Actividad]]="","",CONCATENATE(Tabla1[[#This Row],[POA]],".",Tabla1[[#This Row],[SRS]],".",Tabla1[[#This Row],[AREA]],".",Tabla1[[#This Row],[TIPO]]))</f>
        <v/>
      </c>
      <c r="C34" s="14"/>
      <c r="D34" s="14"/>
      <c r="E34" s="14"/>
      <c r="F34" s="14"/>
      <c r="G34" s="265"/>
      <c r="H34" s="266" t="s">
        <v>535</v>
      </c>
      <c r="I34" s="266" t="s">
        <v>536</v>
      </c>
      <c r="J34" s="265">
        <v>1</v>
      </c>
      <c r="K34" s="268">
        <v>500</v>
      </c>
      <c r="L34" s="268">
        <f>+Tabla1[[#This Row],[Precio Unitario]]*Tabla1[[#This Row],[Cantidad de Insumos]]</f>
        <v>500</v>
      </c>
      <c r="M34" s="269" t="s">
        <v>533</v>
      </c>
      <c r="N34" s="266" t="s">
        <v>66</v>
      </c>
    </row>
    <row r="35" spans="2:14" ht="12.75" x14ac:dyDescent="0.2">
      <c r="B35" s="14" t="str">
        <f>IF(Tabla1[[#This Row],[Código_Actividad]]="","",CONCATENATE(Tabla1[[#This Row],[POA]],".",Tabla1[[#This Row],[SRS]],".",Tabla1[[#This Row],[AREA]],".",Tabla1[[#This Row],[TIPO]]))</f>
        <v/>
      </c>
      <c r="C35" s="14"/>
      <c r="D35" s="14"/>
      <c r="E35" s="14"/>
      <c r="F35" s="14"/>
      <c r="G35" s="265"/>
      <c r="H35" s="266" t="s">
        <v>537</v>
      </c>
      <c r="I35" s="266" t="s">
        <v>526</v>
      </c>
      <c r="J35" s="265">
        <v>1</v>
      </c>
      <c r="K35" s="268">
        <v>180</v>
      </c>
      <c r="L35" s="268">
        <f>+Tabla1[[#This Row],[Precio Unitario]]*Tabla1[[#This Row],[Cantidad de Insumos]]</f>
        <v>180</v>
      </c>
      <c r="M35" s="269" t="s">
        <v>538</v>
      </c>
      <c r="N35" s="266" t="s">
        <v>66</v>
      </c>
    </row>
    <row r="36" spans="2:14" ht="12.75" x14ac:dyDescent="0.2">
      <c r="B36" s="14" t="str">
        <f>IF(Tabla1[[#This Row],[Código_Actividad]]="","",CONCATENATE(Tabla1[[#This Row],[POA]],".",Tabla1[[#This Row],[SRS]],".",Tabla1[[#This Row],[AREA]],".",Tabla1[[#This Row],[TIPO]]))</f>
        <v/>
      </c>
      <c r="C36" s="14"/>
      <c r="D36" s="14"/>
      <c r="E36" s="14"/>
      <c r="F36" s="14"/>
      <c r="G36" s="265"/>
      <c r="H36" s="266" t="s">
        <v>539</v>
      </c>
      <c r="I36" s="266" t="s">
        <v>540</v>
      </c>
      <c r="J36" s="265">
        <v>1</v>
      </c>
      <c r="K36" s="268">
        <v>120</v>
      </c>
      <c r="L36" s="268">
        <f>+Tabla1[[#This Row],[Precio Unitario]]*Tabla1[[#This Row],[Cantidad de Insumos]]</f>
        <v>120</v>
      </c>
      <c r="M36" s="269" t="s">
        <v>529</v>
      </c>
      <c r="N36" s="266" t="s">
        <v>66</v>
      </c>
    </row>
    <row r="37" spans="2:14" ht="12.75" x14ac:dyDescent="0.2">
      <c r="B37" s="14" t="str">
        <f>IF(Tabla1[[#This Row],[Código_Actividad]]="","",CONCATENATE(Tabla1[[#This Row],[POA]],".",Tabla1[[#This Row],[SRS]],".",Tabla1[[#This Row],[AREA]],".",Tabla1[[#This Row],[TIPO]]))</f>
        <v/>
      </c>
      <c r="C37" s="14"/>
      <c r="D37" s="14"/>
      <c r="E37" s="14"/>
      <c r="F37" s="14"/>
      <c r="G37" s="265"/>
      <c r="H37" s="266" t="s">
        <v>541</v>
      </c>
      <c r="I37" s="266" t="s">
        <v>526</v>
      </c>
      <c r="J37" s="265">
        <v>1</v>
      </c>
      <c r="K37" s="268">
        <v>4500</v>
      </c>
      <c r="L37" s="268">
        <f>+Tabla1[[#This Row],[Precio Unitario]]*Tabla1[[#This Row],[Cantidad de Insumos]]</f>
        <v>4500</v>
      </c>
      <c r="M37" s="269" t="s">
        <v>542</v>
      </c>
      <c r="N37" s="266" t="s">
        <v>66</v>
      </c>
    </row>
    <row r="38" spans="2:14" ht="12.75" x14ac:dyDescent="0.2">
      <c r="B38" s="14" t="str">
        <f>IF(Tabla1[[#This Row],[Código_Actividad]]="","",CONCATENATE(Tabla1[[#This Row],[POA]],".",Tabla1[[#This Row],[SRS]],".",Tabla1[[#This Row],[AREA]],".",Tabla1[[#This Row],[TIPO]]))</f>
        <v/>
      </c>
      <c r="C38" s="14"/>
      <c r="D38" s="14"/>
      <c r="E38" s="14"/>
      <c r="F38" s="14"/>
      <c r="G38" s="265"/>
      <c r="H38" s="266" t="s">
        <v>543</v>
      </c>
      <c r="I38" s="266" t="s">
        <v>540</v>
      </c>
      <c r="J38" s="265">
        <v>1</v>
      </c>
      <c r="K38" s="268">
        <v>600</v>
      </c>
      <c r="L38" s="268">
        <f>+Tabla1[[#This Row],[Precio Unitario]]*Tabla1[[#This Row],[Cantidad de Insumos]]</f>
        <v>600</v>
      </c>
      <c r="M38" s="269" t="s">
        <v>529</v>
      </c>
      <c r="N38" s="266" t="s">
        <v>66</v>
      </c>
    </row>
    <row r="39" spans="2:14" ht="12.75" x14ac:dyDescent="0.2">
      <c r="B39" s="14" t="str">
        <f>IF(Tabla1[[#This Row],[Código_Actividad]]="","",CONCATENATE(Tabla1[[#This Row],[POA]],".",Tabla1[[#This Row],[SRS]],".",Tabla1[[#This Row],[AREA]],".",Tabla1[[#This Row],[TIPO]]))</f>
        <v/>
      </c>
      <c r="C39" s="14"/>
      <c r="D39" s="14"/>
      <c r="E39" s="14"/>
      <c r="F39" s="14"/>
      <c r="G39" s="265"/>
      <c r="H39" s="266" t="s">
        <v>544</v>
      </c>
      <c r="I39" s="266" t="s">
        <v>540</v>
      </c>
      <c r="J39" s="265">
        <v>1</v>
      </c>
      <c r="K39" s="268">
        <v>1200</v>
      </c>
      <c r="L39" s="268">
        <f>+Tabla1[[#This Row],[Precio Unitario]]*Tabla1[[#This Row],[Cantidad de Insumos]]</f>
        <v>1200</v>
      </c>
      <c r="M39" s="269" t="s">
        <v>545</v>
      </c>
      <c r="N39" s="266" t="s">
        <v>66</v>
      </c>
    </row>
    <row r="40" spans="2:14" ht="12.75" x14ac:dyDescent="0.2">
      <c r="B40" s="14" t="str">
        <f>IF(Tabla1[[#This Row],[Código_Actividad]]="","",CONCATENATE(Tabla1[[#This Row],[POA]],".",Tabla1[[#This Row],[SRS]],".",Tabla1[[#This Row],[AREA]],".",Tabla1[[#This Row],[TIPO]]))</f>
        <v/>
      </c>
      <c r="C40" s="14"/>
      <c r="D40" s="14"/>
      <c r="E40" s="14"/>
      <c r="F40" s="14"/>
      <c r="G40" s="265"/>
      <c r="H40" s="266" t="s">
        <v>546</v>
      </c>
      <c r="I40" s="266" t="s">
        <v>526</v>
      </c>
      <c r="J40" s="265">
        <v>1</v>
      </c>
      <c r="K40" s="268">
        <v>100</v>
      </c>
      <c r="L40" s="268">
        <f>+Tabla1[[#This Row],[Precio Unitario]]*Tabla1[[#This Row],[Cantidad de Insumos]]</f>
        <v>100</v>
      </c>
      <c r="M40" s="269" t="s">
        <v>529</v>
      </c>
      <c r="N40" s="266" t="s">
        <v>508</v>
      </c>
    </row>
    <row r="41" spans="2:14" ht="12.75" x14ac:dyDescent="0.2">
      <c r="B41" s="14" t="str">
        <f>IF(Tabla1[[#This Row],[Código_Actividad]]="","",CONCATENATE(Tabla1[[#This Row],[POA]],".",Tabla1[[#This Row],[SRS]],".",Tabla1[[#This Row],[AREA]],".",Tabla1[[#This Row],[TIPO]]))</f>
        <v>...</v>
      </c>
      <c r="C41" s="14" t="s">
        <v>523</v>
      </c>
      <c r="D41" s="14" t="s">
        <v>523</v>
      </c>
      <c r="E41" s="14" t="s">
        <v>523</v>
      </c>
      <c r="F41" s="14" t="s">
        <v>523</v>
      </c>
      <c r="G41" s="265" t="s">
        <v>548</v>
      </c>
      <c r="H41" s="266" t="s">
        <v>525</v>
      </c>
      <c r="I41" s="266" t="s">
        <v>526</v>
      </c>
      <c r="J41" s="265">
        <v>1</v>
      </c>
      <c r="K41" s="267">
        <v>35000</v>
      </c>
      <c r="L41" s="268">
        <f>+Tabla1[[#This Row],[Precio Unitario]]*Tabla1[[#This Row],[Cantidad de Insumos]]</f>
        <v>35000</v>
      </c>
      <c r="M41" s="269" t="s">
        <v>527</v>
      </c>
      <c r="N41" s="266" t="s">
        <v>508</v>
      </c>
    </row>
    <row r="42" spans="2:14" ht="12.75" x14ac:dyDescent="0.2">
      <c r="B42" s="14" t="str">
        <f>IF(Tabla1[[#This Row],[Código_Actividad]]="","",CONCATENATE(Tabla1[[#This Row],[POA]],".",Tabla1[[#This Row],[SRS]],".",Tabla1[[#This Row],[AREA]],".",Tabla1[[#This Row],[TIPO]]))</f>
        <v/>
      </c>
      <c r="C42" s="14"/>
      <c r="D42" s="14"/>
      <c r="E42" s="14"/>
      <c r="F42" s="14"/>
      <c r="G42" s="265"/>
      <c r="H42" s="266" t="s">
        <v>547</v>
      </c>
      <c r="I42" s="266" t="s">
        <v>526</v>
      </c>
      <c r="J42" s="265">
        <v>1</v>
      </c>
      <c r="K42" s="268">
        <v>60000</v>
      </c>
      <c r="L42" s="268">
        <f>+Tabla1[[#This Row],[Precio Unitario]]*Tabla1[[#This Row],[Cantidad de Insumos]]</f>
        <v>60000</v>
      </c>
      <c r="M42" s="269" t="s">
        <v>527</v>
      </c>
      <c r="N42" s="266" t="s">
        <v>508</v>
      </c>
    </row>
    <row r="43" spans="2:14" ht="12.75" x14ac:dyDescent="0.2">
      <c r="B43" s="14" t="str">
        <f>IF(Tabla1[[#This Row],[Código_Actividad]]="","",CONCATENATE(Tabla1[[#This Row],[POA]],".",Tabla1[[#This Row],[SRS]],".",Tabla1[[#This Row],[AREA]],".",Tabla1[[#This Row],[TIPO]]))</f>
        <v/>
      </c>
      <c r="C43" s="14"/>
      <c r="D43" s="14"/>
      <c r="E43" s="14"/>
      <c r="F43" s="14"/>
      <c r="G43" s="265"/>
      <c r="H43" s="266" t="s">
        <v>534</v>
      </c>
      <c r="I43" s="266" t="s">
        <v>526</v>
      </c>
      <c r="J43" s="265">
        <v>1</v>
      </c>
      <c r="K43" s="268">
        <v>1400</v>
      </c>
      <c r="L43" s="268">
        <f>+Tabla1[[#This Row],[Precio Unitario]]*Tabla1[[#This Row],[Cantidad de Insumos]]</f>
        <v>1400</v>
      </c>
      <c r="M43" s="269" t="s">
        <v>529</v>
      </c>
      <c r="N43" s="266" t="s">
        <v>66</v>
      </c>
    </row>
    <row r="44" spans="2:14" ht="12.75" x14ac:dyDescent="0.2">
      <c r="B44" s="14" t="str">
        <f>IF(Tabla1[[#This Row],[Código_Actividad]]="","",CONCATENATE(Tabla1[[#This Row],[POA]],".",Tabla1[[#This Row],[SRS]],".",Tabla1[[#This Row],[AREA]],".",Tabla1[[#This Row],[TIPO]]))</f>
        <v/>
      </c>
      <c r="C44" s="14"/>
      <c r="D44" s="14"/>
      <c r="E44" s="14"/>
      <c r="F44" s="14"/>
      <c r="G44" s="265"/>
      <c r="H44" s="266" t="s">
        <v>535</v>
      </c>
      <c r="I44" s="266" t="s">
        <v>536</v>
      </c>
      <c r="J44" s="265">
        <v>1</v>
      </c>
      <c r="K44" s="268">
        <v>500</v>
      </c>
      <c r="L44" s="268">
        <f>+Tabla1[[#This Row],[Precio Unitario]]*Tabla1[[#This Row],[Cantidad de Insumos]]</f>
        <v>500</v>
      </c>
      <c r="M44" s="269" t="s">
        <v>533</v>
      </c>
      <c r="N44" s="266" t="s">
        <v>66</v>
      </c>
    </row>
    <row r="45" spans="2:14" ht="12.75" x14ac:dyDescent="0.2">
      <c r="B45" s="14" t="str">
        <f>IF(Tabla1[[#This Row],[Código_Actividad]]="","",CONCATENATE(Tabla1[[#This Row],[POA]],".",Tabla1[[#This Row],[SRS]],".",Tabla1[[#This Row],[AREA]],".",Tabla1[[#This Row],[TIPO]]))</f>
        <v/>
      </c>
      <c r="C45" s="14"/>
      <c r="D45" s="14"/>
      <c r="E45" s="14"/>
      <c r="F45" s="14"/>
      <c r="G45" s="265"/>
      <c r="H45" s="266" t="s">
        <v>537</v>
      </c>
      <c r="I45" s="266" t="s">
        <v>526</v>
      </c>
      <c r="J45" s="265">
        <v>1</v>
      </c>
      <c r="K45" s="268">
        <v>180</v>
      </c>
      <c r="L45" s="268">
        <f>+Tabla1[[#This Row],[Precio Unitario]]*Tabla1[[#This Row],[Cantidad de Insumos]]</f>
        <v>180</v>
      </c>
      <c r="M45" s="269" t="s">
        <v>538</v>
      </c>
      <c r="N45" s="266" t="s">
        <v>66</v>
      </c>
    </row>
    <row r="46" spans="2:14" ht="12.75" x14ac:dyDescent="0.2">
      <c r="B46" s="14" t="str">
        <f>IF(Tabla1[[#This Row],[Código_Actividad]]="","",CONCATENATE(Tabla1[[#This Row],[POA]],".",Tabla1[[#This Row],[SRS]],".",Tabla1[[#This Row],[AREA]],".",Tabla1[[#This Row],[TIPO]]))</f>
        <v/>
      </c>
      <c r="C46" s="14"/>
      <c r="D46" s="14"/>
      <c r="E46" s="14"/>
      <c r="F46" s="14"/>
      <c r="G46" s="265"/>
      <c r="H46" s="266" t="s">
        <v>539</v>
      </c>
      <c r="I46" s="266" t="s">
        <v>540</v>
      </c>
      <c r="J46" s="265">
        <v>1</v>
      </c>
      <c r="K46" s="268">
        <v>120</v>
      </c>
      <c r="L46" s="268">
        <f>+Tabla1[[#This Row],[Precio Unitario]]*Tabla1[[#This Row],[Cantidad de Insumos]]</f>
        <v>120</v>
      </c>
      <c r="M46" s="269" t="s">
        <v>529</v>
      </c>
      <c r="N46" s="266" t="s">
        <v>66</v>
      </c>
    </row>
    <row r="47" spans="2:14" ht="12.75" x14ac:dyDescent="0.2">
      <c r="B47" s="14" t="str">
        <f>IF(Tabla1[[#This Row],[Código_Actividad]]="","",CONCATENATE(Tabla1[[#This Row],[POA]],".",Tabla1[[#This Row],[SRS]],".",Tabla1[[#This Row],[AREA]],".",Tabla1[[#This Row],[TIPO]]))</f>
        <v/>
      </c>
      <c r="C47" s="14"/>
      <c r="D47" s="14"/>
      <c r="E47" s="14"/>
      <c r="F47" s="14"/>
      <c r="G47" s="265"/>
      <c r="H47" s="266" t="s">
        <v>541</v>
      </c>
      <c r="I47" s="266" t="s">
        <v>526</v>
      </c>
      <c r="J47" s="265">
        <v>1</v>
      </c>
      <c r="K47" s="268">
        <v>4500</v>
      </c>
      <c r="L47" s="268">
        <f>+Tabla1[[#This Row],[Precio Unitario]]*Tabla1[[#This Row],[Cantidad de Insumos]]</f>
        <v>4500</v>
      </c>
      <c r="M47" s="269" t="s">
        <v>542</v>
      </c>
      <c r="N47" s="266" t="s">
        <v>66</v>
      </c>
    </row>
    <row r="48" spans="2:14" ht="12.75" x14ac:dyDescent="0.2">
      <c r="B48" s="14" t="str">
        <f>IF(Tabla1[[#This Row],[Código_Actividad]]="","",CONCATENATE(Tabla1[[#This Row],[POA]],".",Tabla1[[#This Row],[SRS]],".",Tabla1[[#This Row],[AREA]],".",Tabla1[[#This Row],[TIPO]]))</f>
        <v/>
      </c>
      <c r="C48" s="14"/>
      <c r="D48" s="14"/>
      <c r="E48" s="14"/>
      <c r="F48" s="14"/>
      <c r="G48" s="265"/>
      <c r="H48" s="266" t="s">
        <v>543</v>
      </c>
      <c r="I48" s="266" t="s">
        <v>540</v>
      </c>
      <c r="J48" s="265">
        <v>1</v>
      </c>
      <c r="K48" s="268">
        <v>600</v>
      </c>
      <c r="L48" s="268">
        <f>+Tabla1[[#This Row],[Precio Unitario]]*Tabla1[[#This Row],[Cantidad de Insumos]]</f>
        <v>600</v>
      </c>
      <c r="M48" s="269" t="s">
        <v>529</v>
      </c>
      <c r="N48" s="266" t="s">
        <v>66</v>
      </c>
    </row>
    <row r="49" spans="2:14" ht="12.75" x14ac:dyDescent="0.2">
      <c r="B49" s="14" t="str">
        <f>IF(Tabla1[[#This Row],[Código_Actividad]]="","",CONCATENATE(Tabla1[[#This Row],[POA]],".",Tabla1[[#This Row],[SRS]],".",Tabla1[[#This Row],[AREA]],".",Tabla1[[#This Row],[TIPO]]))</f>
        <v/>
      </c>
      <c r="C49" s="14"/>
      <c r="D49" s="14"/>
      <c r="E49" s="14"/>
      <c r="F49" s="14"/>
      <c r="G49" s="265"/>
      <c r="H49" s="266" t="s">
        <v>544</v>
      </c>
      <c r="I49" s="266" t="s">
        <v>540</v>
      </c>
      <c r="J49" s="265">
        <v>1</v>
      </c>
      <c r="K49" s="268">
        <v>1200</v>
      </c>
      <c r="L49" s="268">
        <f>+Tabla1[[#This Row],[Precio Unitario]]*Tabla1[[#This Row],[Cantidad de Insumos]]</f>
        <v>1200</v>
      </c>
      <c r="M49" s="269" t="s">
        <v>545</v>
      </c>
      <c r="N49" s="266" t="s">
        <v>66</v>
      </c>
    </row>
    <row r="50" spans="2:14" ht="12.75" x14ac:dyDescent="0.2">
      <c r="B50" s="14" t="str">
        <f>IF(Tabla1[[#This Row],[Código_Actividad]]="","",CONCATENATE(Tabla1[[#This Row],[POA]],".",Tabla1[[#This Row],[SRS]],".",Tabla1[[#This Row],[AREA]],".",Tabla1[[#This Row],[TIPO]]))</f>
        <v/>
      </c>
      <c r="C50" s="14"/>
      <c r="D50" s="14"/>
      <c r="E50" s="14"/>
      <c r="F50" s="14"/>
      <c r="G50" s="265"/>
      <c r="H50" s="266" t="s">
        <v>546</v>
      </c>
      <c r="I50" s="266" t="s">
        <v>526</v>
      </c>
      <c r="J50" s="265">
        <v>1</v>
      </c>
      <c r="K50" s="268">
        <v>100</v>
      </c>
      <c r="L50" s="268">
        <f>+Tabla1[[#This Row],[Precio Unitario]]*Tabla1[[#This Row],[Cantidad de Insumos]]</f>
        <v>100</v>
      </c>
      <c r="M50" s="269" t="s">
        <v>529</v>
      </c>
      <c r="N50" s="266" t="s">
        <v>508</v>
      </c>
    </row>
    <row r="51" spans="2:14" ht="12.75" x14ac:dyDescent="0.2">
      <c r="B51" s="14" t="str">
        <f>IF(Tabla1[[#This Row],[Código_Actividad]]="","",CONCATENATE(Tabla1[[#This Row],[POA]],".",Tabla1[[#This Row],[SRS]],".",Tabla1[[#This Row],[AREA]],".",Tabla1[[#This Row],[TIPO]]))</f>
        <v>...</v>
      </c>
      <c r="C51" s="14" t="s">
        <v>523</v>
      </c>
      <c r="D51" s="14" t="s">
        <v>523</v>
      </c>
      <c r="E51" s="14" t="s">
        <v>523</v>
      </c>
      <c r="F51" s="14" t="s">
        <v>523</v>
      </c>
      <c r="G51" s="265" t="s">
        <v>549</v>
      </c>
      <c r="H51" s="266" t="s">
        <v>525</v>
      </c>
      <c r="I51" s="266" t="s">
        <v>526</v>
      </c>
      <c r="J51" s="265">
        <v>1</v>
      </c>
      <c r="K51" s="267">
        <v>35000</v>
      </c>
      <c r="L51" s="268">
        <f>+Tabla1[[#This Row],[Precio Unitario]]*Tabla1[[#This Row],[Cantidad de Insumos]]</f>
        <v>35000</v>
      </c>
      <c r="M51" s="269" t="s">
        <v>527</v>
      </c>
      <c r="N51" s="266" t="s">
        <v>508</v>
      </c>
    </row>
    <row r="52" spans="2:14" ht="12.75" x14ac:dyDescent="0.2">
      <c r="B52" s="14" t="str">
        <f>IF(Tabla1[[#This Row],[Código_Actividad]]="","",CONCATENATE(Tabla1[[#This Row],[POA]],".",Tabla1[[#This Row],[SRS]],".",Tabla1[[#This Row],[AREA]],".",Tabla1[[#This Row],[TIPO]]))</f>
        <v/>
      </c>
      <c r="C52" s="14" t="s">
        <v>523</v>
      </c>
      <c r="D52" s="14" t="s">
        <v>523</v>
      </c>
      <c r="E52" s="14" t="s">
        <v>523</v>
      </c>
      <c r="F52" s="14" t="s">
        <v>523</v>
      </c>
      <c r="G52" s="265"/>
      <c r="H52" s="266" t="s">
        <v>534</v>
      </c>
      <c r="I52" s="266" t="s">
        <v>526</v>
      </c>
      <c r="J52" s="265">
        <v>1</v>
      </c>
      <c r="K52" s="268">
        <v>1400</v>
      </c>
      <c r="L52" s="268">
        <f>+Tabla1[[#This Row],[Precio Unitario]]*Tabla1[[#This Row],[Cantidad de Insumos]]</f>
        <v>1400</v>
      </c>
      <c r="M52" s="269" t="s">
        <v>529</v>
      </c>
      <c r="N52" s="266" t="s">
        <v>66</v>
      </c>
    </row>
    <row r="53" spans="2:14" ht="12.75" x14ac:dyDescent="0.2">
      <c r="B53" s="14" t="str">
        <f>IF(Tabla1[[#This Row],[Código_Actividad]]="","",CONCATENATE(Tabla1[[#This Row],[POA]],".",Tabla1[[#This Row],[SRS]],".",Tabla1[[#This Row],[AREA]],".",Tabla1[[#This Row],[TIPO]]))</f>
        <v/>
      </c>
      <c r="C53" s="14" t="s">
        <v>523</v>
      </c>
      <c r="D53" s="14" t="s">
        <v>523</v>
      </c>
      <c r="E53" s="14" t="s">
        <v>523</v>
      </c>
      <c r="F53" s="14" t="s">
        <v>523</v>
      </c>
      <c r="G53" s="265"/>
      <c r="H53" s="266" t="s">
        <v>535</v>
      </c>
      <c r="I53" s="266" t="s">
        <v>536</v>
      </c>
      <c r="J53" s="265">
        <v>1</v>
      </c>
      <c r="K53" s="268">
        <v>500</v>
      </c>
      <c r="L53" s="268">
        <f>+Tabla1[[#This Row],[Precio Unitario]]*Tabla1[[#This Row],[Cantidad de Insumos]]</f>
        <v>500</v>
      </c>
      <c r="M53" s="269" t="s">
        <v>533</v>
      </c>
      <c r="N53" s="266" t="s">
        <v>66</v>
      </c>
    </row>
    <row r="54" spans="2:14" ht="12.75" x14ac:dyDescent="0.2">
      <c r="B54" s="14" t="str">
        <f>IF(Tabla1[[#This Row],[Código_Actividad]]="","",CONCATENATE(Tabla1[[#This Row],[POA]],".",Tabla1[[#This Row],[SRS]],".",Tabla1[[#This Row],[AREA]],".",Tabla1[[#This Row],[TIPO]]))</f>
        <v/>
      </c>
      <c r="C54" s="14" t="s">
        <v>523</v>
      </c>
      <c r="D54" s="14" t="s">
        <v>523</v>
      </c>
      <c r="E54" s="14" t="s">
        <v>523</v>
      </c>
      <c r="F54" s="14" t="s">
        <v>523</v>
      </c>
      <c r="G54" s="265"/>
      <c r="H54" s="266" t="s">
        <v>537</v>
      </c>
      <c r="I54" s="266" t="s">
        <v>526</v>
      </c>
      <c r="J54" s="265">
        <v>1</v>
      </c>
      <c r="K54" s="268">
        <v>180</v>
      </c>
      <c r="L54" s="268">
        <f>+Tabla1[[#This Row],[Precio Unitario]]*Tabla1[[#This Row],[Cantidad de Insumos]]</f>
        <v>180</v>
      </c>
      <c r="M54" s="269" t="s">
        <v>538</v>
      </c>
      <c r="N54" s="266" t="s">
        <v>66</v>
      </c>
    </row>
    <row r="55" spans="2:14" ht="12.75" x14ac:dyDescent="0.2">
      <c r="B55" s="14" t="str">
        <f>IF(Tabla1[[#This Row],[Código_Actividad]]="","",CONCATENATE(Tabla1[[#This Row],[POA]],".",Tabla1[[#This Row],[SRS]],".",Tabla1[[#This Row],[AREA]],".",Tabla1[[#This Row],[TIPO]]))</f>
        <v/>
      </c>
      <c r="C55" s="14" t="s">
        <v>523</v>
      </c>
      <c r="D55" s="14" t="s">
        <v>523</v>
      </c>
      <c r="E55" s="14" t="s">
        <v>523</v>
      </c>
      <c r="F55" s="14" t="s">
        <v>523</v>
      </c>
      <c r="G55" s="265"/>
      <c r="H55" s="266" t="s">
        <v>539</v>
      </c>
      <c r="I55" s="266" t="s">
        <v>540</v>
      </c>
      <c r="J55" s="265">
        <v>1</v>
      </c>
      <c r="K55" s="268">
        <v>120</v>
      </c>
      <c r="L55" s="268">
        <f>+Tabla1[[#This Row],[Precio Unitario]]*Tabla1[[#This Row],[Cantidad de Insumos]]</f>
        <v>120</v>
      </c>
      <c r="M55" s="269" t="s">
        <v>529</v>
      </c>
      <c r="N55" s="266" t="s">
        <v>66</v>
      </c>
    </row>
    <row r="56" spans="2:14" ht="12.75" x14ac:dyDescent="0.2">
      <c r="B56" s="14" t="str">
        <f>IF(Tabla1[[#This Row],[Código_Actividad]]="","",CONCATENATE(Tabla1[[#This Row],[POA]],".",Tabla1[[#This Row],[SRS]],".",Tabla1[[#This Row],[AREA]],".",Tabla1[[#This Row],[TIPO]]))</f>
        <v/>
      </c>
      <c r="C56" s="14" t="s">
        <v>523</v>
      </c>
      <c r="D56" s="14" t="s">
        <v>523</v>
      </c>
      <c r="E56" s="14" t="s">
        <v>523</v>
      </c>
      <c r="F56" s="14" t="s">
        <v>523</v>
      </c>
      <c r="G56" s="265"/>
      <c r="H56" s="266" t="s">
        <v>541</v>
      </c>
      <c r="I56" s="266" t="s">
        <v>526</v>
      </c>
      <c r="J56" s="265">
        <v>1</v>
      </c>
      <c r="K56" s="268">
        <v>4500</v>
      </c>
      <c r="L56" s="268">
        <f>+Tabla1[[#This Row],[Precio Unitario]]*Tabla1[[#This Row],[Cantidad de Insumos]]</f>
        <v>4500</v>
      </c>
      <c r="M56" s="269" t="s">
        <v>542</v>
      </c>
      <c r="N56" s="266" t="s">
        <v>66</v>
      </c>
    </row>
    <row r="57" spans="2:14" ht="12.75" x14ac:dyDescent="0.2">
      <c r="B57" s="14" t="str">
        <f>IF(Tabla1[[#This Row],[Código_Actividad]]="","",CONCATENATE(Tabla1[[#This Row],[POA]],".",Tabla1[[#This Row],[SRS]],".",Tabla1[[#This Row],[AREA]],".",Tabla1[[#This Row],[TIPO]]))</f>
        <v/>
      </c>
      <c r="C57" s="14" t="s">
        <v>523</v>
      </c>
      <c r="D57" s="14" t="s">
        <v>523</v>
      </c>
      <c r="E57" s="14" t="s">
        <v>523</v>
      </c>
      <c r="F57" s="14" t="s">
        <v>523</v>
      </c>
      <c r="G57" s="265"/>
      <c r="H57" s="266" t="s">
        <v>543</v>
      </c>
      <c r="I57" s="266" t="s">
        <v>540</v>
      </c>
      <c r="J57" s="265">
        <v>1</v>
      </c>
      <c r="K57" s="268">
        <v>600</v>
      </c>
      <c r="L57" s="268">
        <f>+Tabla1[[#This Row],[Precio Unitario]]*Tabla1[[#This Row],[Cantidad de Insumos]]</f>
        <v>600</v>
      </c>
      <c r="M57" s="269" t="s">
        <v>529</v>
      </c>
      <c r="N57" s="266" t="s">
        <v>66</v>
      </c>
    </row>
    <row r="58" spans="2:14" ht="12.75" x14ac:dyDescent="0.2">
      <c r="B58" s="14" t="str">
        <f>IF(Tabla1[[#This Row],[Código_Actividad]]="","",CONCATENATE(Tabla1[[#This Row],[POA]],".",Tabla1[[#This Row],[SRS]],".",Tabla1[[#This Row],[AREA]],".",Tabla1[[#This Row],[TIPO]]))</f>
        <v/>
      </c>
      <c r="C58" s="14" t="s">
        <v>523</v>
      </c>
      <c r="D58" s="14" t="s">
        <v>523</v>
      </c>
      <c r="E58" s="14" t="s">
        <v>523</v>
      </c>
      <c r="F58" s="14" t="s">
        <v>523</v>
      </c>
      <c r="G58" s="265"/>
      <c r="H58" s="266" t="s">
        <v>544</v>
      </c>
      <c r="I58" s="266" t="s">
        <v>540</v>
      </c>
      <c r="J58" s="265">
        <v>1</v>
      </c>
      <c r="K58" s="268">
        <v>1200</v>
      </c>
      <c r="L58" s="268">
        <f>+Tabla1[[#This Row],[Precio Unitario]]*Tabla1[[#This Row],[Cantidad de Insumos]]</f>
        <v>1200</v>
      </c>
      <c r="M58" s="269" t="s">
        <v>545</v>
      </c>
      <c r="N58" s="266" t="s">
        <v>66</v>
      </c>
    </row>
    <row r="59" spans="2:14" ht="12.75" x14ac:dyDescent="0.2">
      <c r="B59" s="14" t="str">
        <f>IF(Tabla1[[#This Row],[Código_Actividad]]="","",CONCATENATE(Tabla1[[#This Row],[POA]],".",Tabla1[[#This Row],[SRS]],".",Tabla1[[#This Row],[AREA]],".",Tabla1[[#This Row],[TIPO]]))</f>
        <v/>
      </c>
      <c r="C59" s="14" t="s">
        <v>523</v>
      </c>
      <c r="D59" s="14" t="s">
        <v>523</v>
      </c>
      <c r="E59" s="14" t="s">
        <v>523</v>
      </c>
      <c r="F59" s="14" t="s">
        <v>523</v>
      </c>
      <c r="G59" s="265"/>
      <c r="H59" s="266" t="s">
        <v>546</v>
      </c>
      <c r="I59" s="266" t="s">
        <v>526</v>
      </c>
      <c r="J59" s="265">
        <v>1</v>
      </c>
      <c r="K59" s="268">
        <v>100</v>
      </c>
      <c r="L59" s="268">
        <f>+Tabla1[[#This Row],[Precio Unitario]]*Tabla1[[#This Row],[Cantidad de Insumos]]</f>
        <v>100</v>
      </c>
      <c r="M59" s="269" t="s">
        <v>529</v>
      </c>
      <c r="N59" s="266" t="s">
        <v>508</v>
      </c>
    </row>
    <row r="60" spans="2:14" ht="12.75" x14ac:dyDescent="0.2">
      <c r="B60" s="14" t="str">
        <f>IF(Tabla1[[#This Row],[Código_Actividad]]="","",CONCATENATE(Tabla1[[#This Row],[POA]],".",Tabla1[[#This Row],[SRS]],".",Tabla1[[#This Row],[AREA]],".",Tabla1[[#This Row],[TIPO]]))</f>
        <v>...</v>
      </c>
      <c r="C60" s="14"/>
      <c r="D60" s="14"/>
      <c r="E60" s="14"/>
      <c r="F60" s="14"/>
      <c r="G60" s="265" t="s">
        <v>550</v>
      </c>
      <c r="H60" s="266" t="s">
        <v>525</v>
      </c>
      <c r="I60" s="266" t="s">
        <v>526</v>
      </c>
      <c r="J60" s="265">
        <v>1</v>
      </c>
      <c r="K60" s="267">
        <v>35000</v>
      </c>
      <c r="L60" s="268">
        <f>+Tabla1[[#This Row],[Precio Unitario]]*Tabla1[[#This Row],[Cantidad de Insumos]]</f>
        <v>35000</v>
      </c>
      <c r="M60" s="269" t="s">
        <v>527</v>
      </c>
      <c r="N60" s="266" t="s">
        <v>508</v>
      </c>
    </row>
    <row r="61" spans="2:14" ht="12.75" x14ac:dyDescent="0.2">
      <c r="B61" s="14" t="str">
        <f>IF(Tabla1[[#This Row],[Código_Actividad]]="","",CONCATENATE(Tabla1[[#This Row],[POA]],".",Tabla1[[#This Row],[SRS]],".",Tabla1[[#This Row],[AREA]],".",Tabla1[[#This Row],[TIPO]]))</f>
        <v/>
      </c>
      <c r="C61" s="14"/>
      <c r="D61" s="14"/>
      <c r="E61" s="14"/>
      <c r="F61" s="14"/>
      <c r="G61" s="265"/>
      <c r="H61" s="266" t="s">
        <v>547</v>
      </c>
      <c r="I61" s="266" t="s">
        <v>526</v>
      </c>
      <c r="J61" s="265">
        <v>1</v>
      </c>
      <c r="K61" s="268">
        <v>60000</v>
      </c>
      <c r="L61" s="268">
        <f>+Tabla1[[#This Row],[Precio Unitario]]*Tabla1[[#This Row],[Cantidad de Insumos]]</f>
        <v>60000</v>
      </c>
      <c r="M61" s="269" t="s">
        <v>527</v>
      </c>
      <c r="N61" s="266" t="s">
        <v>508</v>
      </c>
    </row>
    <row r="62" spans="2:14" ht="12.75" x14ac:dyDescent="0.2">
      <c r="B62" s="14" t="str">
        <f>IF(Tabla1[[#This Row],[Código_Actividad]]="","",CONCATENATE(Tabla1[[#This Row],[POA]],".",Tabla1[[#This Row],[SRS]],".",Tabla1[[#This Row],[AREA]],".",Tabla1[[#This Row],[TIPO]]))</f>
        <v/>
      </c>
      <c r="C62" s="14"/>
      <c r="D62" s="14"/>
      <c r="E62" s="14"/>
      <c r="F62" s="14"/>
      <c r="G62" s="265"/>
      <c r="H62" s="266" t="s">
        <v>534</v>
      </c>
      <c r="I62" s="266" t="s">
        <v>526</v>
      </c>
      <c r="J62" s="265">
        <v>1</v>
      </c>
      <c r="K62" s="268">
        <v>1400</v>
      </c>
      <c r="L62" s="268">
        <f>+Tabla1[[#This Row],[Precio Unitario]]*Tabla1[[#This Row],[Cantidad de Insumos]]</f>
        <v>1400</v>
      </c>
      <c r="M62" s="269" t="s">
        <v>529</v>
      </c>
      <c r="N62" s="266" t="s">
        <v>66</v>
      </c>
    </row>
    <row r="63" spans="2:14" ht="12.75" x14ac:dyDescent="0.2">
      <c r="B63" s="14" t="str">
        <f>IF(Tabla1[[#This Row],[Código_Actividad]]="","",CONCATENATE(Tabla1[[#This Row],[POA]],".",Tabla1[[#This Row],[SRS]],".",Tabla1[[#This Row],[AREA]],".",Tabla1[[#This Row],[TIPO]]))</f>
        <v/>
      </c>
      <c r="C63" s="14"/>
      <c r="D63" s="14"/>
      <c r="E63" s="14"/>
      <c r="F63" s="14"/>
      <c r="G63" s="265"/>
      <c r="H63" s="266" t="s">
        <v>535</v>
      </c>
      <c r="I63" s="266" t="s">
        <v>536</v>
      </c>
      <c r="J63" s="265">
        <v>1</v>
      </c>
      <c r="K63" s="268">
        <v>500</v>
      </c>
      <c r="L63" s="268">
        <f>+Tabla1[[#This Row],[Precio Unitario]]*Tabla1[[#This Row],[Cantidad de Insumos]]</f>
        <v>500</v>
      </c>
      <c r="M63" s="269" t="s">
        <v>533</v>
      </c>
      <c r="N63" s="266" t="s">
        <v>66</v>
      </c>
    </row>
    <row r="64" spans="2:14" ht="12.75" x14ac:dyDescent="0.2">
      <c r="B64" s="14" t="str">
        <f>IF(Tabla1[[#This Row],[Código_Actividad]]="","",CONCATENATE(Tabla1[[#This Row],[POA]],".",Tabla1[[#This Row],[SRS]],".",Tabla1[[#This Row],[AREA]],".",Tabla1[[#This Row],[TIPO]]))</f>
        <v/>
      </c>
      <c r="C64" s="14"/>
      <c r="D64" s="14"/>
      <c r="E64" s="14"/>
      <c r="F64" s="14"/>
      <c r="G64" s="265"/>
      <c r="H64" s="266" t="s">
        <v>537</v>
      </c>
      <c r="I64" s="266" t="s">
        <v>526</v>
      </c>
      <c r="J64" s="265">
        <v>1</v>
      </c>
      <c r="K64" s="268">
        <v>180</v>
      </c>
      <c r="L64" s="268">
        <f>+Tabla1[[#This Row],[Precio Unitario]]*Tabla1[[#This Row],[Cantidad de Insumos]]</f>
        <v>180</v>
      </c>
      <c r="M64" s="269" t="s">
        <v>538</v>
      </c>
      <c r="N64" s="266" t="s">
        <v>66</v>
      </c>
    </row>
    <row r="65" spans="2:14" ht="12.75" x14ac:dyDescent="0.2">
      <c r="B65" s="14" t="str">
        <f>IF(Tabla1[[#This Row],[Código_Actividad]]="","",CONCATENATE(Tabla1[[#This Row],[POA]],".",Tabla1[[#This Row],[SRS]],".",Tabla1[[#This Row],[AREA]],".",Tabla1[[#This Row],[TIPO]]))</f>
        <v/>
      </c>
      <c r="C65" s="14"/>
      <c r="D65" s="14"/>
      <c r="E65" s="14"/>
      <c r="F65" s="14"/>
      <c r="G65" s="265"/>
      <c r="H65" s="266" t="s">
        <v>539</v>
      </c>
      <c r="I65" s="266" t="s">
        <v>540</v>
      </c>
      <c r="J65" s="265">
        <v>1</v>
      </c>
      <c r="K65" s="268">
        <v>120</v>
      </c>
      <c r="L65" s="268">
        <f>+Tabla1[[#This Row],[Precio Unitario]]*Tabla1[[#This Row],[Cantidad de Insumos]]</f>
        <v>120</v>
      </c>
      <c r="M65" s="269" t="s">
        <v>529</v>
      </c>
      <c r="N65" s="266" t="s">
        <v>66</v>
      </c>
    </row>
    <row r="66" spans="2:14" ht="12.75" x14ac:dyDescent="0.2">
      <c r="B66" s="14" t="str">
        <f>IF(Tabla1[[#This Row],[Código_Actividad]]="","",CONCATENATE(Tabla1[[#This Row],[POA]],".",Tabla1[[#This Row],[SRS]],".",Tabla1[[#This Row],[AREA]],".",Tabla1[[#This Row],[TIPO]]))</f>
        <v/>
      </c>
      <c r="C66" s="14"/>
      <c r="D66" s="14"/>
      <c r="E66" s="14"/>
      <c r="F66" s="14"/>
      <c r="G66" s="265"/>
      <c r="H66" s="266" t="s">
        <v>541</v>
      </c>
      <c r="I66" s="266" t="s">
        <v>526</v>
      </c>
      <c r="J66" s="265">
        <v>1</v>
      </c>
      <c r="K66" s="268">
        <v>4500</v>
      </c>
      <c r="L66" s="268">
        <f>+Tabla1[[#This Row],[Precio Unitario]]*Tabla1[[#This Row],[Cantidad de Insumos]]</f>
        <v>4500</v>
      </c>
      <c r="M66" s="269" t="s">
        <v>542</v>
      </c>
      <c r="N66" s="266" t="s">
        <v>66</v>
      </c>
    </row>
    <row r="67" spans="2:14" ht="12.75" x14ac:dyDescent="0.2">
      <c r="B67" s="14" t="str">
        <f>IF(Tabla1[[#This Row],[Código_Actividad]]="","",CONCATENATE(Tabla1[[#This Row],[POA]],".",Tabla1[[#This Row],[SRS]],".",Tabla1[[#This Row],[AREA]],".",Tabla1[[#This Row],[TIPO]]))</f>
        <v/>
      </c>
      <c r="C67" s="14"/>
      <c r="D67" s="14"/>
      <c r="E67" s="14"/>
      <c r="F67" s="14"/>
      <c r="G67" s="265"/>
      <c r="H67" s="266" t="s">
        <v>543</v>
      </c>
      <c r="I67" s="266" t="s">
        <v>540</v>
      </c>
      <c r="J67" s="265">
        <v>1</v>
      </c>
      <c r="K67" s="268">
        <v>600</v>
      </c>
      <c r="L67" s="268">
        <f>+Tabla1[[#This Row],[Precio Unitario]]*Tabla1[[#This Row],[Cantidad de Insumos]]</f>
        <v>600</v>
      </c>
      <c r="M67" s="269" t="s">
        <v>529</v>
      </c>
      <c r="N67" s="266" t="s">
        <v>66</v>
      </c>
    </row>
    <row r="68" spans="2:14" ht="12.75" x14ac:dyDescent="0.2">
      <c r="B68" s="14" t="str">
        <f>IF(Tabla1[[#This Row],[Código_Actividad]]="","",CONCATENATE(Tabla1[[#This Row],[POA]],".",Tabla1[[#This Row],[SRS]],".",Tabla1[[#This Row],[AREA]],".",Tabla1[[#This Row],[TIPO]]))</f>
        <v/>
      </c>
      <c r="C68" s="14"/>
      <c r="D68" s="14"/>
      <c r="E68" s="14"/>
      <c r="F68" s="14"/>
      <c r="G68" s="265"/>
      <c r="H68" s="266" t="s">
        <v>544</v>
      </c>
      <c r="I68" s="266" t="s">
        <v>540</v>
      </c>
      <c r="J68" s="265">
        <v>1</v>
      </c>
      <c r="K68" s="268">
        <v>1200</v>
      </c>
      <c r="L68" s="268">
        <f>+Tabla1[[#This Row],[Precio Unitario]]*Tabla1[[#This Row],[Cantidad de Insumos]]</f>
        <v>1200</v>
      </c>
      <c r="M68" s="269" t="s">
        <v>545</v>
      </c>
      <c r="N68" s="266" t="s">
        <v>66</v>
      </c>
    </row>
    <row r="69" spans="2:14" ht="12.75" x14ac:dyDescent="0.2">
      <c r="B69" s="14" t="str">
        <f>IF(Tabla1[[#This Row],[Código_Actividad]]="","",CONCATENATE(Tabla1[[#This Row],[POA]],".",Tabla1[[#This Row],[SRS]],".",Tabla1[[#This Row],[AREA]],".",Tabla1[[#This Row],[TIPO]]))</f>
        <v/>
      </c>
      <c r="C69" s="14"/>
      <c r="D69" s="14"/>
      <c r="E69" s="14"/>
      <c r="F69" s="14"/>
      <c r="G69" s="265"/>
      <c r="H69" s="266" t="s">
        <v>546</v>
      </c>
      <c r="I69" s="266" t="s">
        <v>526</v>
      </c>
      <c r="J69" s="265">
        <v>1</v>
      </c>
      <c r="K69" s="268">
        <v>100</v>
      </c>
      <c r="L69" s="268">
        <f>+Tabla1[[#This Row],[Precio Unitario]]*Tabla1[[#This Row],[Cantidad de Insumos]]</f>
        <v>100</v>
      </c>
      <c r="M69" s="269" t="s">
        <v>529</v>
      </c>
      <c r="N69" s="266" t="s">
        <v>508</v>
      </c>
    </row>
    <row r="70" spans="2:14" ht="12.75" x14ac:dyDescent="0.2">
      <c r="B70" s="14" t="str">
        <f>IF(Tabla1[[#This Row],[Código_Actividad]]="","",CONCATENATE(Tabla1[[#This Row],[POA]],".",Tabla1[[#This Row],[SRS]],".",Tabla1[[#This Row],[AREA]],".",Tabla1[[#This Row],[TIPO]]))</f>
        <v>...</v>
      </c>
      <c r="C70" s="14" t="s">
        <v>523</v>
      </c>
      <c r="D70" s="14" t="s">
        <v>523</v>
      </c>
      <c r="E70" s="14" t="s">
        <v>523</v>
      </c>
      <c r="F70" s="14" t="s">
        <v>523</v>
      </c>
      <c r="G70" s="265" t="s">
        <v>178</v>
      </c>
      <c r="H70" s="266" t="s">
        <v>525</v>
      </c>
      <c r="I70" s="266" t="s">
        <v>526</v>
      </c>
      <c r="J70" s="265">
        <v>1</v>
      </c>
      <c r="K70" s="267">
        <v>35000</v>
      </c>
      <c r="L70" s="268">
        <f>+Tabla1[[#This Row],[Precio Unitario]]*Tabla1[[#This Row],[Cantidad de Insumos]]</f>
        <v>35000</v>
      </c>
      <c r="M70" s="269" t="s">
        <v>527</v>
      </c>
      <c r="N70" s="266" t="s">
        <v>508</v>
      </c>
    </row>
    <row r="71" spans="2:14" ht="12.75" x14ac:dyDescent="0.2">
      <c r="B71" s="14" t="str">
        <f>IF(Tabla1[[#This Row],[Código_Actividad]]="","",CONCATENATE(Tabla1[[#This Row],[POA]],".",Tabla1[[#This Row],[SRS]],".",Tabla1[[#This Row],[AREA]],".",Tabla1[[#This Row],[TIPO]]))</f>
        <v/>
      </c>
      <c r="C71" s="14"/>
      <c r="D71" s="14"/>
      <c r="E71" s="14"/>
      <c r="F71" s="14"/>
      <c r="G71" s="265"/>
      <c r="H71" s="266" t="s">
        <v>547</v>
      </c>
      <c r="I71" s="266" t="s">
        <v>526</v>
      </c>
      <c r="J71" s="265">
        <v>1</v>
      </c>
      <c r="K71" s="268">
        <v>60000</v>
      </c>
      <c r="L71" s="268">
        <f>+Tabla1[[#This Row],[Precio Unitario]]*Tabla1[[#This Row],[Cantidad de Insumos]]</f>
        <v>60000</v>
      </c>
      <c r="M71" s="269" t="s">
        <v>527</v>
      </c>
      <c r="N71" s="266" t="s">
        <v>508</v>
      </c>
    </row>
    <row r="72" spans="2:14" ht="12.75" x14ac:dyDescent="0.2">
      <c r="B72" s="14" t="str">
        <f>IF(Tabla1[[#This Row],[Código_Actividad]]="","",CONCATENATE(Tabla1[[#This Row],[POA]],".",Tabla1[[#This Row],[SRS]],".",Tabla1[[#This Row],[AREA]],".",Tabla1[[#This Row],[TIPO]]))</f>
        <v/>
      </c>
      <c r="C72" s="14"/>
      <c r="D72" s="14"/>
      <c r="E72" s="14"/>
      <c r="F72" s="14"/>
      <c r="G72" s="265"/>
      <c r="H72" s="266" t="s">
        <v>534</v>
      </c>
      <c r="I72" s="266" t="s">
        <v>526</v>
      </c>
      <c r="J72" s="265">
        <v>1</v>
      </c>
      <c r="K72" s="268">
        <v>1400</v>
      </c>
      <c r="L72" s="268">
        <f>+Tabla1[[#This Row],[Precio Unitario]]*Tabla1[[#This Row],[Cantidad de Insumos]]</f>
        <v>1400</v>
      </c>
      <c r="M72" s="269" t="s">
        <v>529</v>
      </c>
      <c r="N72" s="266" t="s">
        <v>66</v>
      </c>
    </row>
    <row r="73" spans="2:14" ht="12.75" x14ac:dyDescent="0.2">
      <c r="B73" s="14" t="str">
        <f>IF(Tabla1[[#This Row],[Código_Actividad]]="","",CONCATENATE(Tabla1[[#This Row],[POA]],".",Tabla1[[#This Row],[SRS]],".",Tabla1[[#This Row],[AREA]],".",Tabla1[[#This Row],[TIPO]]))</f>
        <v/>
      </c>
      <c r="C73" s="14"/>
      <c r="D73" s="14"/>
      <c r="E73" s="14"/>
      <c r="F73" s="14"/>
      <c r="G73" s="265"/>
      <c r="H73" s="266" t="s">
        <v>535</v>
      </c>
      <c r="I73" s="266" t="s">
        <v>536</v>
      </c>
      <c r="J73" s="265">
        <v>1</v>
      </c>
      <c r="K73" s="268">
        <v>500</v>
      </c>
      <c r="L73" s="268">
        <f>+Tabla1[[#This Row],[Precio Unitario]]*Tabla1[[#This Row],[Cantidad de Insumos]]</f>
        <v>500</v>
      </c>
      <c r="M73" s="269" t="s">
        <v>533</v>
      </c>
      <c r="N73" s="266" t="s">
        <v>66</v>
      </c>
    </row>
    <row r="74" spans="2:14" ht="12.75" x14ac:dyDescent="0.2">
      <c r="B74" s="14" t="str">
        <f>IF(Tabla1[[#This Row],[Código_Actividad]]="","",CONCATENATE(Tabla1[[#This Row],[POA]],".",Tabla1[[#This Row],[SRS]],".",Tabla1[[#This Row],[AREA]],".",Tabla1[[#This Row],[TIPO]]))</f>
        <v/>
      </c>
      <c r="C74" s="14"/>
      <c r="D74" s="14"/>
      <c r="E74" s="14"/>
      <c r="F74" s="14"/>
      <c r="G74" s="265"/>
      <c r="H74" s="266" t="s">
        <v>537</v>
      </c>
      <c r="I74" s="266" t="s">
        <v>526</v>
      </c>
      <c r="J74" s="265">
        <v>1</v>
      </c>
      <c r="K74" s="268">
        <v>180</v>
      </c>
      <c r="L74" s="268">
        <f>+Tabla1[[#This Row],[Precio Unitario]]*Tabla1[[#This Row],[Cantidad de Insumos]]</f>
        <v>180</v>
      </c>
      <c r="M74" s="269" t="s">
        <v>538</v>
      </c>
      <c r="N74" s="266" t="s">
        <v>66</v>
      </c>
    </row>
    <row r="75" spans="2:14" ht="12.75" x14ac:dyDescent="0.2">
      <c r="B75" s="14" t="str">
        <f>IF(Tabla1[[#This Row],[Código_Actividad]]="","",CONCATENATE(Tabla1[[#This Row],[POA]],".",Tabla1[[#This Row],[SRS]],".",Tabla1[[#This Row],[AREA]],".",Tabla1[[#This Row],[TIPO]]))</f>
        <v/>
      </c>
      <c r="C75" s="14"/>
      <c r="D75" s="14"/>
      <c r="E75" s="14"/>
      <c r="F75" s="14"/>
      <c r="G75" s="265"/>
      <c r="H75" s="266" t="s">
        <v>539</v>
      </c>
      <c r="I75" s="266" t="s">
        <v>540</v>
      </c>
      <c r="J75" s="265">
        <v>1</v>
      </c>
      <c r="K75" s="268">
        <v>120</v>
      </c>
      <c r="L75" s="268">
        <f>+Tabla1[[#This Row],[Precio Unitario]]*Tabla1[[#This Row],[Cantidad de Insumos]]</f>
        <v>120</v>
      </c>
      <c r="M75" s="269" t="s">
        <v>529</v>
      </c>
      <c r="N75" s="266" t="s">
        <v>66</v>
      </c>
    </row>
    <row r="76" spans="2:14" ht="12.75" x14ac:dyDescent="0.2">
      <c r="B76" s="14" t="str">
        <f>IF(Tabla1[[#This Row],[Código_Actividad]]="","",CONCATENATE(Tabla1[[#This Row],[POA]],".",Tabla1[[#This Row],[SRS]],".",Tabla1[[#This Row],[AREA]],".",Tabla1[[#This Row],[TIPO]]))</f>
        <v/>
      </c>
      <c r="C76" s="14"/>
      <c r="D76" s="14"/>
      <c r="E76" s="14"/>
      <c r="F76" s="14"/>
      <c r="G76" s="265"/>
      <c r="H76" s="266" t="s">
        <v>541</v>
      </c>
      <c r="I76" s="266" t="s">
        <v>526</v>
      </c>
      <c r="J76" s="265">
        <v>1</v>
      </c>
      <c r="K76" s="268">
        <v>4500</v>
      </c>
      <c r="L76" s="268">
        <f>+Tabla1[[#This Row],[Precio Unitario]]*Tabla1[[#This Row],[Cantidad de Insumos]]</f>
        <v>4500</v>
      </c>
      <c r="M76" s="269" t="s">
        <v>542</v>
      </c>
      <c r="N76" s="266" t="s">
        <v>66</v>
      </c>
    </row>
    <row r="77" spans="2:14" ht="12.75" x14ac:dyDescent="0.2">
      <c r="B77" s="14" t="str">
        <f>IF(Tabla1[[#This Row],[Código_Actividad]]="","",CONCATENATE(Tabla1[[#This Row],[POA]],".",Tabla1[[#This Row],[SRS]],".",Tabla1[[#This Row],[AREA]],".",Tabla1[[#This Row],[TIPO]]))</f>
        <v/>
      </c>
      <c r="C77" s="14"/>
      <c r="D77" s="14"/>
      <c r="E77" s="14"/>
      <c r="F77" s="14"/>
      <c r="G77" s="265"/>
      <c r="H77" s="266" t="s">
        <v>543</v>
      </c>
      <c r="I77" s="266" t="s">
        <v>540</v>
      </c>
      <c r="J77" s="265">
        <v>1</v>
      </c>
      <c r="K77" s="268">
        <v>600</v>
      </c>
      <c r="L77" s="268">
        <f>+Tabla1[[#This Row],[Precio Unitario]]*Tabla1[[#This Row],[Cantidad de Insumos]]</f>
        <v>600</v>
      </c>
      <c r="M77" s="269" t="s">
        <v>529</v>
      </c>
      <c r="N77" s="266" t="s">
        <v>66</v>
      </c>
    </row>
    <row r="78" spans="2:14" ht="12.75" x14ac:dyDescent="0.2">
      <c r="B78" s="14" t="str">
        <f>IF(Tabla1[[#This Row],[Código_Actividad]]="","",CONCATENATE(Tabla1[[#This Row],[POA]],".",Tabla1[[#This Row],[SRS]],".",Tabla1[[#This Row],[AREA]],".",Tabla1[[#This Row],[TIPO]]))</f>
        <v/>
      </c>
      <c r="C78" s="14"/>
      <c r="D78" s="14"/>
      <c r="E78" s="14"/>
      <c r="F78" s="14"/>
      <c r="G78" s="265"/>
      <c r="H78" s="266" t="s">
        <v>544</v>
      </c>
      <c r="I78" s="266" t="s">
        <v>540</v>
      </c>
      <c r="J78" s="265">
        <v>1</v>
      </c>
      <c r="K78" s="268">
        <v>1200</v>
      </c>
      <c r="L78" s="268">
        <f>+Tabla1[[#This Row],[Precio Unitario]]*Tabla1[[#This Row],[Cantidad de Insumos]]</f>
        <v>1200</v>
      </c>
      <c r="M78" s="269" t="s">
        <v>545</v>
      </c>
      <c r="N78" s="266" t="s">
        <v>66</v>
      </c>
    </row>
    <row r="79" spans="2:14" ht="12.75" x14ac:dyDescent="0.2">
      <c r="B79" s="14" t="str">
        <f>IF(Tabla1[[#This Row],[Código_Actividad]]="","",CONCATENATE(Tabla1[[#This Row],[POA]],".",Tabla1[[#This Row],[SRS]],".",Tabla1[[#This Row],[AREA]],".",Tabla1[[#This Row],[TIPO]]))</f>
        <v/>
      </c>
      <c r="C79" s="14"/>
      <c r="D79" s="14"/>
      <c r="E79" s="14"/>
      <c r="F79" s="14"/>
      <c r="G79" s="265"/>
      <c r="H79" s="266" t="s">
        <v>546</v>
      </c>
      <c r="I79" s="266" t="s">
        <v>526</v>
      </c>
      <c r="J79" s="265">
        <v>1</v>
      </c>
      <c r="K79" s="268">
        <v>100</v>
      </c>
      <c r="L79" s="268">
        <f>+Tabla1[[#This Row],[Precio Unitario]]*Tabla1[[#This Row],[Cantidad de Insumos]]</f>
        <v>100</v>
      </c>
      <c r="M79" s="269" t="s">
        <v>529</v>
      </c>
      <c r="N79" s="266" t="s">
        <v>508</v>
      </c>
    </row>
    <row r="80" spans="2:14" ht="12.75" x14ac:dyDescent="0.2">
      <c r="B80" s="14" t="str">
        <f>IF(Tabla1[[#This Row],[Código_Actividad]]="","",CONCATENATE(Tabla1[[#This Row],[POA]],".",Tabla1[[#This Row],[SRS]],".",Tabla1[[#This Row],[AREA]],".",Tabla1[[#This Row],[TIPO]]))</f>
        <v>...</v>
      </c>
      <c r="C80" s="14" t="s">
        <v>523</v>
      </c>
      <c r="D80" s="14" t="s">
        <v>523</v>
      </c>
      <c r="E80" s="14" t="s">
        <v>523</v>
      </c>
      <c r="F80" s="14" t="s">
        <v>523</v>
      </c>
      <c r="G80" s="265" t="s">
        <v>181</v>
      </c>
      <c r="H80" s="266" t="s">
        <v>525</v>
      </c>
      <c r="I80" s="266" t="s">
        <v>526</v>
      </c>
      <c r="J80" s="265">
        <v>1</v>
      </c>
      <c r="K80" s="267">
        <v>35000</v>
      </c>
      <c r="L80" s="268">
        <f>+Tabla1[[#This Row],[Precio Unitario]]*Tabla1[[#This Row],[Cantidad de Insumos]]</f>
        <v>35000</v>
      </c>
      <c r="M80" s="269" t="s">
        <v>527</v>
      </c>
      <c r="N80" s="266" t="s">
        <v>508</v>
      </c>
    </row>
    <row r="81" spans="2:14" ht="12.75" x14ac:dyDescent="0.2">
      <c r="B81" s="14" t="str">
        <f>IF(Tabla1[[#This Row],[Código_Actividad]]="","",CONCATENATE(Tabla1[[#This Row],[POA]],".",Tabla1[[#This Row],[SRS]],".",Tabla1[[#This Row],[AREA]],".",Tabla1[[#This Row],[TIPO]]))</f>
        <v/>
      </c>
      <c r="C81" s="14"/>
      <c r="D81" s="14"/>
      <c r="E81" s="14"/>
      <c r="F81" s="14"/>
      <c r="G81" s="265"/>
      <c r="H81" s="266" t="s">
        <v>534</v>
      </c>
      <c r="I81" s="266" t="s">
        <v>526</v>
      </c>
      <c r="J81" s="265">
        <v>1</v>
      </c>
      <c r="K81" s="268">
        <v>1400</v>
      </c>
      <c r="L81" s="268">
        <f>+Tabla1[[#This Row],[Precio Unitario]]*Tabla1[[#This Row],[Cantidad de Insumos]]</f>
        <v>1400</v>
      </c>
      <c r="M81" s="269" t="s">
        <v>529</v>
      </c>
      <c r="N81" s="266" t="s">
        <v>66</v>
      </c>
    </row>
    <row r="82" spans="2:14" ht="12.75" x14ac:dyDescent="0.2">
      <c r="B82" s="14" t="str">
        <f>IF(Tabla1[[#This Row],[Código_Actividad]]="","",CONCATENATE(Tabla1[[#This Row],[POA]],".",Tabla1[[#This Row],[SRS]],".",Tabla1[[#This Row],[AREA]],".",Tabla1[[#This Row],[TIPO]]))</f>
        <v/>
      </c>
      <c r="C82" s="14"/>
      <c r="D82" s="14"/>
      <c r="E82" s="14"/>
      <c r="F82" s="14"/>
      <c r="G82" s="265"/>
      <c r="H82" s="266" t="s">
        <v>535</v>
      </c>
      <c r="I82" s="266" t="s">
        <v>536</v>
      </c>
      <c r="J82" s="265">
        <v>1</v>
      </c>
      <c r="K82" s="268">
        <v>500</v>
      </c>
      <c r="L82" s="268">
        <f>+Tabla1[[#This Row],[Precio Unitario]]*Tabla1[[#This Row],[Cantidad de Insumos]]</f>
        <v>500</v>
      </c>
      <c r="M82" s="269" t="s">
        <v>533</v>
      </c>
      <c r="N82" s="266" t="s">
        <v>66</v>
      </c>
    </row>
    <row r="83" spans="2:14" ht="12.75" x14ac:dyDescent="0.2">
      <c r="B83" s="14" t="str">
        <f>IF(Tabla1[[#This Row],[Código_Actividad]]="","",CONCATENATE(Tabla1[[#This Row],[POA]],".",Tabla1[[#This Row],[SRS]],".",Tabla1[[#This Row],[AREA]],".",Tabla1[[#This Row],[TIPO]]))</f>
        <v/>
      </c>
      <c r="C83" s="14"/>
      <c r="D83" s="14"/>
      <c r="E83" s="14"/>
      <c r="F83" s="14"/>
      <c r="G83" s="265"/>
      <c r="H83" s="266" t="s">
        <v>537</v>
      </c>
      <c r="I83" s="266" t="s">
        <v>526</v>
      </c>
      <c r="J83" s="265">
        <v>1</v>
      </c>
      <c r="K83" s="268">
        <v>180</v>
      </c>
      <c r="L83" s="268">
        <f>+Tabla1[[#This Row],[Precio Unitario]]*Tabla1[[#This Row],[Cantidad de Insumos]]</f>
        <v>180</v>
      </c>
      <c r="M83" s="269" t="s">
        <v>538</v>
      </c>
      <c r="N83" s="266" t="s">
        <v>66</v>
      </c>
    </row>
    <row r="84" spans="2:14" ht="12.75" x14ac:dyDescent="0.2">
      <c r="B84" s="14" t="str">
        <f>IF(Tabla1[[#This Row],[Código_Actividad]]="","",CONCATENATE(Tabla1[[#This Row],[POA]],".",Tabla1[[#This Row],[SRS]],".",Tabla1[[#This Row],[AREA]],".",Tabla1[[#This Row],[TIPO]]))</f>
        <v/>
      </c>
      <c r="C84" s="14"/>
      <c r="D84" s="14"/>
      <c r="E84" s="14"/>
      <c r="F84" s="14"/>
      <c r="G84" s="265"/>
      <c r="H84" s="266" t="s">
        <v>539</v>
      </c>
      <c r="I84" s="266" t="s">
        <v>540</v>
      </c>
      <c r="J84" s="265">
        <v>1</v>
      </c>
      <c r="K84" s="268">
        <v>120</v>
      </c>
      <c r="L84" s="268">
        <f>+Tabla1[[#This Row],[Precio Unitario]]*Tabla1[[#This Row],[Cantidad de Insumos]]</f>
        <v>120</v>
      </c>
      <c r="M84" s="269" t="s">
        <v>529</v>
      </c>
      <c r="N84" s="266" t="s">
        <v>66</v>
      </c>
    </row>
    <row r="85" spans="2:14" ht="12.75" x14ac:dyDescent="0.2">
      <c r="B85" s="14" t="str">
        <f>IF(Tabla1[[#This Row],[Código_Actividad]]="","",CONCATENATE(Tabla1[[#This Row],[POA]],".",Tabla1[[#This Row],[SRS]],".",Tabla1[[#This Row],[AREA]],".",Tabla1[[#This Row],[TIPO]]))</f>
        <v/>
      </c>
      <c r="C85" s="14"/>
      <c r="D85" s="14"/>
      <c r="E85" s="14"/>
      <c r="F85" s="14"/>
      <c r="G85" s="265"/>
      <c r="H85" s="266" t="s">
        <v>541</v>
      </c>
      <c r="I85" s="266" t="s">
        <v>526</v>
      </c>
      <c r="J85" s="265">
        <v>1</v>
      </c>
      <c r="K85" s="268">
        <v>4500</v>
      </c>
      <c r="L85" s="268">
        <f>+Tabla1[[#This Row],[Precio Unitario]]*Tabla1[[#This Row],[Cantidad de Insumos]]</f>
        <v>4500</v>
      </c>
      <c r="M85" s="269" t="s">
        <v>542</v>
      </c>
      <c r="N85" s="266" t="s">
        <v>66</v>
      </c>
    </row>
    <row r="86" spans="2:14" ht="12.75" x14ac:dyDescent="0.2">
      <c r="B86" s="14" t="str">
        <f>IF(Tabla1[[#This Row],[Código_Actividad]]="","",CONCATENATE(Tabla1[[#This Row],[POA]],".",Tabla1[[#This Row],[SRS]],".",Tabla1[[#This Row],[AREA]],".",Tabla1[[#This Row],[TIPO]]))</f>
        <v/>
      </c>
      <c r="C86" s="14"/>
      <c r="D86" s="14"/>
      <c r="E86" s="14"/>
      <c r="F86" s="14"/>
      <c r="G86" s="265"/>
      <c r="H86" s="266" t="s">
        <v>530</v>
      </c>
      <c r="I86" s="405" t="s">
        <v>526</v>
      </c>
      <c r="J86" s="265">
        <v>4</v>
      </c>
      <c r="K86" s="268">
        <v>30</v>
      </c>
      <c r="L86" s="268">
        <f>+Tabla1[[#This Row],[Precio Unitario]]*Tabla1[[#This Row],[Cantidad de Insumos]]</f>
        <v>120</v>
      </c>
      <c r="M86" s="269" t="s">
        <v>529</v>
      </c>
      <c r="N86" s="266" t="s">
        <v>66</v>
      </c>
    </row>
    <row r="87" spans="2:14" ht="12.75" x14ac:dyDescent="0.2">
      <c r="B87" s="14" t="str">
        <f>IF(Tabla1[[#This Row],[Código_Actividad]]="","",CONCATENATE(Tabla1[[#This Row],[POA]],".",Tabla1[[#This Row],[SRS]],".",Tabla1[[#This Row],[AREA]],".",Tabla1[[#This Row],[TIPO]]))</f>
        <v/>
      </c>
      <c r="C87" s="14"/>
      <c r="D87" s="14"/>
      <c r="E87" s="14"/>
      <c r="F87" s="14"/>
      <c r="G87" s="265"/>
      <c r="H87" s="266" t="s">
        <v>531</v>
      </c>
      <c r="I87" s="405" t="s">
        <v>532</v>
      </c>
      <c r="J87" s="265">
        <v>1</v>
      </c>
      <c r="K87" s="268">
        <v>150</v>
      </c>
      <c r="L87" s="268">
        <f>+Tabla1[[#This Row],[Precio Unitario]]*Tabla1[[#This Row],[Cantidad de Insumos]]</f>
        <v>150</v>
      </c>
      <c r="M87" s="269" t="s">
        <v>533</v>
      </c>
      <c r="N87" s="266" t="s">
        <v>66</v>
      </c>
    </row>
    <row r="88" spans="2:14" ht="12.75" x14ac:dyDescent="0.2">
      <c r="B88" s="14" t="str">
        <f>IF(Tabla1[[#This Row],[Código_Actividad]]="","",CONCATENATE(Tabla1[[#This Row],[POA]],".",Tabla1[[#This Row],[SRS]],".",Tabla1[[#This Row],[AREA]],".",Tabla1[[#This Row],[TIPO]]))</f>
        <v/>
      </c>
      <c r="C88" s="14"/>
      <c r="D88" s="14"/>
      <c r="E88" s="14"/>
      <c r="F88" s="14"/>
      <c r="G88" s="265"/>
      <c r="H88" s="266" t="s">
        <v>543</v>
      </c>
      <c r="I88" s="266" t="s">
        <v>540</v>
      </c>
      <c r="J88" s="265">
        <v>1</v>
      </c>
      <c r="K88" s="268">
        <v>600</v>
      </c>
      <c r="L88" s="268">
        <f>+Tabla1[[#This Row],[Precio Unitario]]*Tabla1[[#This Row],[Cantidad de Insumos]]</f>
        <v>600</v>
      </c>
      <c r="M88" s="269" t="s">
        <v>529</v>
      </c>
      <c r="N88" s="266" t="s">
        <v>66</v>
      </c>
    </row>
    <row r="89" spans="2:14" ht="12.75" x14ac:dyDescent="0.2">
      <c r="B89" s="14" t="str">
        <f>IF(Tabla1[[#This Row],[Código_Actividad]]="","",CONCATENATE(Tabla1[[#This Row],[POA]],".",Tabla1[[#This Row],[SRS]],".",Tabla1[[#This Row],[AREA]],".",Tabla1[[#This Row],[TIPO]]))</f>
        <v/>
      </c>
      <c r="C89" s="14"/>
      <c r="D89" s="14"/>
      <c r="E89" s="14"/>
      <c r="F89" s="14"/>
      <c r="G89" s="265"/>
      <c r="H89" s="266" t="s">
        <v>544</v>
      </c>
      <c r="I89" s="266" t="s">
        <v>540</v>
      </c>
      <c r="J89" s="265">
        <v>1</v>
      </c>
      <c r="K89" s="268">
        <v>1200</v>
      </c>
      <c r="L89" s="268">
        <f>+Tabla1[[#This Row],[Precio Unitario]]*Tabla1[[#This Row],[Cantidad de Insumos]]</f>
        <v>1200</v>
      </c>
      <c r="M89" s="269" t="s">
        <v>545</v>
      </c>
      <c r="N89" s="266" t="s">
        <v>66</v>
      </c>
    </row>
    <row r="90" spans="2:14" ht="12.75" x14ac:dyDescent="0.2">
      <c r="B90" s="14" t="str">
        <f>IF(Tabla1[[#This Row],[Código_Actividad]]="","",CONCATENATE(Tabla1[[#This Row],[POA]],".",Tabla1[[#This Row],[SRS]],".",Tabla1[[#This Row],[AREA]],".",Tabla1[[#This Row],[TIPO]]))</f>
        <v/>
      </c>
      <c r="C90" s="14"/>
      <c r="D90" s="14"/>
      <c r="E90" s="14"/>
      <c r="F90" s="14"/>
      <c r="G90" s="265"/>
      <c r="H90" s="266" t="s">
        <v>546</v>
      </c>
      <c r="I90" s="266" t="s">
        <v>526</v>
      </c>
      <c r="J90" s="265">
        <v>1</v>
      </c>
      <c r="K90" s="268">
        <v>100</v>
      </c>
      <c r="L90" s="268">
        <f>+Tabla1[[#This Row],[Precio Unitario]]*Tabla1[[#This Row],[Cantidad de Insumos]]</f>
        <v>100</v>
      </c>
      <c r="M90" s="269" t="s">
        <v>529</v>
      </c>
      <c r="N90" s="266" t="s">
        <v>508</v>
      </c>
    </row>
    <row r="91" spans="2:14" ht="12.75" x14ac:dyDescent="0.2">
      <c r="B91" s="14" t="str">
        <f>IF(Tabla1[[#This Row],[Código_Actividad]]="","",CONCATENATE(Tabla1[[#This Row],[POA]],".",Tabla1[[#This Row],[SRS]],".",Tabla1[[#This Row],[AREA]],".",Tabla1[[#This Row],[TIPO]]))</f>
        <v>...</v>
      </c>
      <c r="C91" s="14" t="s">
        <v>523</v>
      </c>
      <c r="D91" s="14" t="s">
        <v>523</v>
      </c>
      <c r="E91" s="14" t="s">
        <v>523</v>
      </c>
      <c r="F91" s="14" t="s">
        <v>523</v>
      </c>
      <c r="G91" s="265" t="s">
        <v>183</v>
      </c>
      <c r="H91" s="266" t="s">
        <v>525</v>
      </c>
      <c r="I91" s="266" t="s">
        <v>526</v>
      </c>
      <c r="J91" s="265">
        <v>1</v>
      </c>
      <c r="K91" s="267">
        <v>35000</v>
      </c>
      <c r="L91" s="268">
        <f>+Tabla1[[#This Row],[Precio Unitario]]*Tabla1[[#This Row],[Cantidad de Insumos]]</f>
        <v>35000</v>
      </c>
      <c r="M91" s="269" t="s">
        <v>527</v>
      </c>
      <c r="N91" s="266" t="s">
        <v>508</v>
      </c>
    </row>
    <row r="92" spans="2:14" ht="12.75" x14ac:dyDescent="0.2">
      <c r="B92" s="14" t="str">
        <f>IF(Tabla1[[#This Row],[Código_Actividad]]="","",CONCATENATE(Tabla1[[#This Row],[POA]],".",Tabla1[[#This Row],[SRS]],".",Tabla1[[#This Row],[AREA]],".",Tabla1[[#This Row],[TIPO]]))</f>
        <v/>
      </c>
      <c r="C92" s="14"/>
      <c r="D92" s="14"/>
      <c r="E92" s="14"/>
      <c r="F92" s="14"/>
      <c r="G92" s="265"/>
      <c r="H92" s="266" t="s">
        <v>547</v>
      </c>
      <c r="I92" s="266" t="s">
        <v>526</v>
      </c>
      <c r="J92" s="265">
        <v>1</v>
      </c>
      <c r="K92" s="268">
        <v>60000</v>
      </c>
      <c r="L92" s="268">
        <f>+Tabla1[[#This Row],[Precio Unitario]]*Tabla1[[#This Row],[Cantidad de Insumos]]</f>
        <v>60000</v>
      </c>
      <c r="M92" s="269" t="s">
        <v>527</v>
      </c>
      <c r="N92" s="266" t="s">
        <v>508</v>
      </c>
    </row>
    <row r="93" spans="2:14" ht="12.75" x14ac:dyDescent="0.2">
      <c r="B93" s="14" t="str">
        <f>IF(Tabla1[[#This Row],[Código_Actividad]]="","",CONCATENATE(Tabla1[[#This Row],[POA]],".",Tabla1[[#This Row],[SRS]],".",Tabla1[[#This Row],[AREA]],".",Tabla1[[#This Row],[TIPO]]))</f>
        <v/>
      </c>
      <c r="C93" s="14"/>
      <c r="D93" s="14"/>
      <c r="E93" s="14"/>
      <c r="F93" s="14"/>
      <c r="G93" s="265"/>
      <c r="H93" s="266" t="s">
        <v>534</v>
      </c>
      <c r="I93" s="266" t="s">
        <v>526</v>
      </c>
      <c r="J93" s="265">
        <v>1</v>
      </c>
      <c r="K93" s="268">
        <v>1400</v>
      </c>
      <c r="L93" s="268">
        <f>+Tabla1[[#This Row],[Precio Unitario]]*Tabla1[[#This Row],[Cantidad de Insumos]]</f>
        <v>1400</v>
      </c>
      <c r="M93" s="269" t="s">
        <v>529</v>
      </c>
      <c r="N93" s="266" t="s">
        <v>66</v>
      </c>
    </row>
    <row r="94" spans="2:14" ht="12.75" x14ac:dyDescent="0.2">
      <c r="B94" s="14" t="str">
        <f>IF(Tabla1[[#This Row],[Código_Actividad]]="","",CONCATENATE(Tabla1[[#This Row],[POA]],".",Tabla1[[#This Row],[SRS]],".",Tabla1[[#This Row],[AREA]],".",Tabla1[[#This Row],[TIPO]]))</f>
        <v/>
      </c>
      <c r="C94" s="14"/>
      <c r="D94" s="14"/>
      <c r="E94" s="14"/>
      <c r="F94" s="14"/>
      <c r="G94" s="265"/>
      <c r="H94" s="266" t="s">
        <v>535</v>
      </c>
      <c r="I94" s="266" t="s">
        <v>536</v>
      </c>
      <c r="J94" s="265">
        <v>1</v>
      </c>
      <c r="K94" s="268">
        <v>500</v>
      </c>
      <c r="L94" s="268">
        <f>+Tabla1[[#This Row],[Precio Unitario]]*Tabla1[[#This Row],[Cantidad de Insumos]]</f>
        <v>500</v>
      </c>
      <c r="M94" s="269" t="s">
        <v>533</v>
      </c>
      <c r="N94" s="266" t="s">
        <v>66</v>
      </c>
    </row>
    <row r="95" spans="2:14" ht="12.75" x14ac:dyDescent="0.2">
      <c r="B95" s="14" t="str">
        <f>IF(Tabla1[[#This Row],[Código_Actividad]]="","",CONCATENATE(Tabla1[[#This Row],[POA]],".",Tabla1[[#This Row],[SRS]],".",Tabla1[[#This Row],[AREA]],".",Tabla1[[#This Row],[TIPO]]))</f>
        <v/>
      </c>
      <c r="C95" s="14"/>
      <c r="D95" s="14"/>
      <c r="E95" s="14"/>
      <c r="F95" s="14"/>
      <c r="G95" s="265"/>
      <c r="H95" s="266" t="s">
        <v>537</v>
      </c>
      <c r="I95" s="266" t="s">
        <v>526</v>
      </c>
      <c r="J95" s="265">
        <v>1</v>
      </c>
      <c r="K95" s="268">
        <v>180</v>
      </c>
      <c r="L95" s="268">
        <f>+Tabla1[[#This Row],[Precio Unitario]]*Tabla1[[#This Row],[Cantidad de Insumos]]</f>
        <v>180</v>
      </c>
      <c r="M95" s="269" t="s">
        <v>538</v>
      </c>
      <c r="N95" s="266" t="s">
        <v>66</v>
      </c>
    </row>
    <row r="96" spans="2:14" ht="12.75" x14ac:dyDescent="0.2">
      <c r="B96" s="14" t="str">
        <f>IF(Tabla1[[#This Row],[Código_Actividad]]="","",CONCATENATE(Tabla1[[#This Row],[POA]],".",Tabla1[[#This Row],[SRS]],".",Tabla1[[#This Row],[AREA]],".",Tabla1[[#This Row],[TIPO]]))</f>
        <v/>
      </c>
      <c r="C96" s="14"/>
      <c r="D96" s="14"/>
      <c r="E96" s="14"/>
      <c r="F96" s="14"/>
      <c r="G96" s="265"/>
      <c r="H96" s="266" t="s">
        <v>539</v>
      </c>
      <c r="I96" s="266" t="s">
        <v>540</v>
      </c>
      <c r="J96" s="265">
        <v>1</v>
      </c>
      <c r="K96" s="268">
        <v>120</v>
      </c>
      <c r="L96" s="268">
        <f>+Tabla1[[#This Row],[Precio Unitario]]*Tabla1[[#This Row],[Cantidad de Insumos]]</f>
        <v>120</v>
      </c>
      <c r="M96" s="269" t="s">
        <v>529</v>
      </c>
      <c r="N96" s="266" t="s">
        <v>66</v>
      </c>
    </row>
    <row r="97" spans="2:14" ht="12.75" x14ac:dyDescent="0.2">
      <c r="B97" s="14" t="str">
        <f>IF(Tabla1[[#This Row],[Código_Actividad]]="","",CONCATENATE(Tabla1[[#This Row],[POA]],".",Tabla1[[#This Row],[SRS]],".",Tabla1[[#This Row],[AREA]],".",Tabla1[[#This Row],[TIPO]]))</f>
        <v/>
      </c>
      <c r="C97" s="14"/>
      <c r="D97" s="14"/>
      <c r="E97" s="14"/>
      <c r="F97" s="14"/>
      <c r="G97" s="265"/>
      <c r="H97" s="266" t="s">
        <v>541</v>
      </c>
      <c r="I97" s="266" t="s">
        <v>526</v>
      </c>
      <c r="J97" s="265">
        <v>1</v>
      </c>
      <c r="K97" s="268">
        <v>4500</v>
      </c>
      <c r="L97" s="268">
        <f>+Tabla1[[#This Row],[Precio Unitario]]*Tabla1[[#This Row],[Cantidad de Insumos]]</f>
        <v>4500</v>
      </c>
      <c r="M97" s="269" t="s">
        <v>542</v>
      </c>
      <c r="N97" s="266" t="s">
        <v>66</v>
      </c>
    </row>
    <row r="98" spans="2:14" ht="12.75" x14ac:dyDescent="0.2">
      <c r="B98" s="14" t="str">
        <f>IF(Tabla1[[#This Row],[Código_Actividad]]="","",CONCATENATE(Tabla1[[#This Row],[POA]],".",Tabla1[[#This Row],[SRS]],".",Tabla1[[#This Row],[AREA]],".",Tabla1[[#This Row],[TIPO]]))</f>
        <v/>
      </c>
      <c r="C98" s="14"/>
      <c r="D98" s="14"/>
      <c r="E98" s="14"/>
      <c r="F98" s="14"/>
      <c r="G98" s="265"/>
      <c r="H98" s="266" t="s">
        <v>543</v>
      </c>
      <c r="I98" s="266" t="s">
        <v>540</v>
      </c>
      <c r="J98" s="265">
        <v>1</v>
      </c>
      <c r="K98" s="268">
        <v>600</v>
      </c>
      <c r="L98" s="268">
        <f>+Tabla1[[#This Row],[Precio Unitario]]*Tabla1[[#This Row],[Cantidad de Insumos]]</f>
        <v>600</v>
      </c>
      <c r="M98" s="269" t="s">
        <v>529</v>
      </c>
      <c r="N98" s="266" t="s">
        <v>66</v>
      </c>
    </row>
    <row r="99" spans="2:14" ht="12.75" x14ac:dyDescent="0.2">
      <c r="B99" s="14" t="str">
        <f>IF(Tabla1[[#This Row],[Código_Actividad]]="","",CONCATENATE(Tabla1[[#This Row],[POA]],".",Tabla1[[#This Row],[SRS]],".",Tabla1[[#This Row],[AREA]],".",Tabla1[[#This Row],[TIPO]]))</f>
        <v/>
      </c>
      <c r="C99" s="14"/>
      <c r="D99" s="14"/>
      <c r="E99" s="14"/>
      <c r="F99" s="14"/>
      <c r="G99" s="265"/>
      <c r="H99" s="266" t="s">
        <v>544</v>
      </c>
      <c r="I99" s="266" t="s">
        <v>540</v>
      </c>
      <c r="J99" s="265">
        <v>1</v>
      </c>
      <c r="K99" s="268">
        <v>1200</v>
      </c>
      <c r="L99" s="268">
        <f>+Tabla1[[#This Row],[Precio Unitario]]*Tabla1[[#This Row],[Cantidad de Insumos]]</f>
        <v>1200</v>
      </c>
      <c r="M99" s="269" t="s">
        <v>545</v>
      </c>
      <c r="N99" s="266" t="s">
        <v>66</v>
      </c>
    </row>
    <row r="100" spans="2:14" ht="12.75" x14ac:dyDescent="0.2">
      <c r="B100" s="14" t="str">
        <f>IF(Tabla1[[#This Row],[Código_Actividad]]="","",CONCATENATE(Tabla1[[#This Row],[POA]],".",Tabla1[[#This Row],[SRS]],".",Tabla1[[#This Row],[AREA]],".",Tabla1[[#This Row],[TIPO]]))</f>
        <v/>
      </c>
      <c r="C100" s="14"/>
      <c r="D100" s="14"/>
      <c r="E100" s="14"/>
      <c r="F100" s="14"/>
      <c r="G100" s="265"/>
      <c r="H100" s="266" t="s">
        <v>546</v>
      </c>
      <c r="I100" s="266" t="s">
        <v>526</v>
      </c>
      <c r="J100" s="265">
        <v>1</v>
      </c>
      <c r="K100" s="268">
        <v>100</v>
      </c>
      <c r="L100" s="268">
        <f>+Tabla1[[#This Row],[Precio Unitario]]*Tabla1[[#This Row],[Cantidad de Insumos]]</f>
        <v>100</v>
      </c>
      <c r="M100" s="269" t="s">
        <v>529</v>
      </c>
      <c r="N100" s="266" t="s">
        <v>508</v>
      </c>
    </row>
    <row r="101" spans="2:14" ht="12.75" x14ac:dyDescent="0.2">
      <c r="B101" s="14" t="str">
        <f>IF(Tabla1[[#This Row],[Código_Actividad]]="","",CONCATENATE(Tabla1[[#This Row],[POA]],".",Tabla1[[#This Row],[SRS]],".",Tabla1[[#This Row],[AREA]],".",Tabla1[[#This Row],[TIPO]]))</f>
        <v>...</v>
      </c>
      <c r="C101" s="14" t="s">
        <v>523</v>
      </c>
      <c r="D101" s="14" t="s">
        <v>523</v>
      </c>
      <c r="E101" s="14" t="s">
        <v>523</v>
      </c>
      <c r="F101" s="14" t="s">
        <v>523</v>
      </c>
      <c r="G101" s="265" t="s">
        <v>185</v>
      </c>
      <c r="H101" s="266" t="s">
        <v>525</v>
      </c>
      <c r="I101" s="266" t="s">
        <v>526</v>
      </c>
      <c r="J101" s="265">
        <v>1</v>
      </c>
      <c r="K101" s="267">
        <v>35000</v>
      </c>
      <c r="L101" s="268">
        <f>+Tabla1[[#This Row],[Precio Unitario]]*Tabla1[[#This Row],[Cantidad de Insumos]]</f>
        <v>35000</v>
      </c>
      <c r="M101" s="269" t="s">
        <v>527</v>
      </c>
      <c r="N101" s="266" t="s">
        <v>508</v>
      </c>
    </row>
    <row r="102" spans="2:14" ht="12.75" x14ac:dyDescent="0.2">
      <c r="B102" s="14" t="str">
        <f>IF(Tabla1[[#This Row],[Código_Actividad]]="","",CONCATENATE(Tabla1[[#This Row],[POA]],".",Tabla1[[#This Row],[SRS]],".",Tabla1[[#This Row],[AREA]],".",Tabla1[[#This Row],[TIPO]]))</f>
        <v/>
      </c>
      <c r="C102" s="14"/>
      <c r="D102" s="14"/>
      <c r="E102" s="14"/>
      <c r="F102" s="14"/>
      <c r="G102" s="265"/>
      <c r="H102" s="266" t="s">
        <v>534</v>
      </c>
      <c r="I102" s="266" t="s">
        <v>526</v>
      </c>
      <c r="J102" s="265">
        <v>1</v>
      </c>
      <c r="K102" s="268">
        <v>1400</v>
      </c>
      <c r="L102" s="268">
        <f>+Tabla1[[#This Row],[Precio Unitario]]*Tabla1[[#This Row],[Cantidad de Insumos]]</f>
        <v>1400</v>
      </c>
      <c r="M102" s="269" t="s">
        <v>529</v>
      </c>
      <c r="N102" s="266" t="s">
        <v>66</v>
      </c>
    </row>
    <row r="103" spans="2:14" ht="12.75" x14ac:dyDescent="0.2">
      <c r="B103" s="14" t="str">
        <f>IF(Tabla1[[#This Row],[Código_Actividad]]="","",CONCATENATE(Tabla1[[#This Row],[POA]],".",Tabla1[[#This Row],[SRS]],".",Tabla1[[#This Row],[AREA]],".",Tabla1[[#This Row],[TIPO]]))</f>
        <v/>
      </c>
      <c r="C103" s="14"/>
      <c r="D103" s="14"/>
      <c r="E103" s="14"/>
      <c r="F103" s="14"/>
      <c r="G103" s="265"/>
      <c r="H103" s="266" t="s">
        <v>535</v>
      </c>
      <c r="I103" s="266" t="s">
        <v>536</v>
      </c>
      <c r="J103" s="265">
        <v>1</v>
      </c>
      <c r="K103" s="268">
        <v>500</v>
      </c>
      <c r="L103" s="268">
        <f>+Tabla1[[#This Row],[Precio Unitario]]*Tabla1[[#This Row],[Cantidad de Insumos]]</f>
        <v>500</v>
      </c>
      <c r="M103" s="269" t="s">
        <v>533</v>
      </c>
      <c r="N103" s="266" t="s">
        <v>66</v>
      </c>
    </row>
    <row r="104" spans="2:14" ht="12.75" x14ac:dyDescent="0.2">
      <c r="B104" s="14" t="str">
        <f>IF(Tabla1[[#This Row],[Código_Actividad]]="","",CONCATENATE(Tabla1[[#This Row],[POA]],".",Tabla1[[#This Row],[SRS]],".",Tabla1[[#This Row],[AREA]],".",Tabla1[[#This Row],[TIPO]]))</f>
        <v/>
      </c>
      <c r="C104" s="14"/>
      <c r="D104" s="14"/>
      <c r="E104" s="14"/>
      <c r="F104" s="14"/>
      <c r="G104" s="265"/>
      <c r="H104" s="266" t="s">
        <v>537</v>
      </c>
      <c r="I104" s="266" t="s">
        <v>526</v>
      </c>
      <c r="J104" s="265">
        <v>1</v>
      </c>
      <c r="K104" s="268">
        <v>180</v>
      </c>
      <c r="L104" s="268">
        <f>+Tabla1[[#This Row],[Precio Unitario]]*Tabla1[[#This Row],[Cantidad de Insumos]]</f>
        <v>180</v>
      </c>
      <c r="M104" s="269" t="s">
        <v>538</v>
      </c>
      <c r="N104" s="266" t="s">
        <v>66</v>
      </c>
    </row>
    <row r="105" spans="2:14" ht="12.75" x14ac:dyDescent="0.2">
      <c r="B105" s="14" t="str">
        <f>IF(Tabla1[[#This Row],[Código_Actividad]]="","",CONCATENATE(Tabla1[[#This Row],[POA]],".",Tabla1[[#This Row],[SRS]],".",Tabla1[[#This Row],[AREA]],".",Tabla1[[#This Row],[TIPO]]))</f>
        <v/>
      </c>
      <c r="C105" s="14"/>
      <c r="D105" s="14"/>
      <c r="E105" s="14"/>
      <c r="F105" s="14"/>
      <c r="G105" s="265"/>
      <c r="H105" s="266" t="s">
        <v>539</v>
      </c>
      <c r="I105" s="266" t="s">
        <v>540</v>
      </c>
      <c r="J105" s="265">
        <v>1</v>
      </c>
      <c r="K105" s="268">
        <v>120</v>
      </c>
      <c r="L105" s="268">
        <f>+Tabla1[[#This Row],[Precio Unitario]]*Tabla1[[#This Row],[Cantidad de Insumos]]</f>
        <v>120</v>
      </c>
      <c r="M105" s="269" t="s">
        <v>529</v>
      </c>
      <c r="N105" s="266" t="s">
        <v>66</v>
      </c>
    </row>
    <row r="106" spans="2:14" ht="12.75" x14ac:dyDescent="0.2">
      <c r="B106" s="14" t="str">
        <f>IF(Tabla1[[#This Row],[Código_Actividad]]="","",CONCATENATE(Tabla1[[#This Row],[POA]],".",Tabla1[[#This Row],[SRS]],".",Tabla1[[#This Row],[AREA]],".",Tabla1[[#This Row],[TIPO]]))</f>
        <v/>
      </c>
      <c r="C106" s="14"/>
      <c r="D106" s="14"/>
      <c r="E106" s="14"/>
      <c r="F106" s="14"/>
      <c r="G106" s="265"/>
      <c r="H106" s="266" t="s">
        <v>541</v>
      </c>
      <c r="I106" s="266" t="s">
        <v>526</v>
      </c>
      <c r="J106" s="265">
        <v>1</v>
      </c>
      <c r="K106" s="268">
        <v>4500</v>
      </c>
      <c r="L106" s="268">
        <f>+Tabla1[[#This Row],[Precio Unitario]]*Tabla1[[#This Row],[Cantidad de Insumos]]</f>
        <v>4500</v>
      </c>
      <c r="M106" s="269" t="s">
        <v>542</v>
      </c>
      <c r="N106" s="266" t="s">
        <v>66</v>
      </c>
    </row>
    <row r="107" spans="2:14" ht="12.75" x14ac:dyDescent="0.2">
      <c r="B107" s="14" t="str">
        <f>IF(Tabla1[[#This Row],[Código_Actividad]]="","",CONCATENATE(Tabla1[[#This Row],[POA]],".",Tabla1[[#This Row],[SRS]],".",Tabla1[[#This Row],[AREA]],".",Tabla1[[#This Row],[TIPO]]))</f>
        <v/>
      </c>
      <c r="C107" s="14"/>
      <c r="D107" s="14"/>
      <c r="E107" s="14"/>
      <c r="F107" s="14"/>
      <c r="G107" s="265"/>
      <c r="H107" s="266" t="s">
        <v>543</v>
      </c>
      <c r="I107" s="266" t="s">
        <v>540</v>
      </c>
      <c r="J107" s="265">
        <v>1</v>
      </c>
      <c r="K107" s="268">
        <v>600</v>
      </c>
      <c r="L107" s="268">
        <f>+Tabla1[[#This Row],[Precio Unitario]]*Tabla1[[#This Row],[Cantidad de Insumos]]</f>
        <v>600</v>
      </c>
      <c r="M107" s="269" t="s">
        <v>529</v>
      </c>
      <c r="N107" s="266" t="s">
        <v>66</v>
      </c>
    </row>
    <row r="108" spans="2:14" ht="12.75" x14ac:dyDescent="0.2">
      <c r="B108" s="14" t="str">
        <f>IF(Tabla1[[#This Row],[Código_Actividad]]="","",CONCATENATE(Tabla1[[#This Row],[POA]],".",Tabla1[[#This Row],[SRS]],".",Tabla1[[#This Row],[AREA]],".",Tabla1[[#This Row],[TIPO]]))</f>
        <v/>
      </c>
      <c r="C108" s="14"/>
      <c r="D108" s="14"/>
      <c r="E108" s="14"/>
      <c r="F108" s="14"/>
      <c r="G108" s="265"/>
      <c r="H108" s="266" t="s">
        <v>530</v>
      </c>
      <c r="I108" s="405" t="s">
        <v>526</v>
      </c>
      <c r="J108" s="265">
        <v>4</v>
      </c>
      <c r="K108" s="268">
        <v>30</v>
      </c>
      <c r="L108" s="268">
        <f>+Tabla1[[#This Row],[Precio Unitario]]*Tabla1[[#This Row],[Cantidad de Insumos]]</f>
        <v>120</v>
      </c>
      <c r="M108" s="269" t="s">
        <v>529</v>
      </c>
      <c r="N108" s="266" t="s">
        <v>66</v>
      </c>
    </row>
    <row r="109" spans="2:14" ht="12.75" x14ac:dyDescent="0.2">
      <c r="B109" s="14" t="str">
        <f>IF(Tabla1[[#This Row],[Código_Actividad]]="","",CONCATENATE(Tabla1[[#This Row],[POA]],".",Tabla1[[#This Row],[SRS]],".",Tabla1[[#This Row],[AREA]],".",Tabla1[[#This Row],[TIPO]]))</f>
        <v/>
      </c>
      <c r="C109" s="14"/>
      <c r="D109" s="14"/>
      <c r="E109" s="14"/>
      <c r="F109" s="14"/>
      <c r="G109" s="265"/>
      <c r="H109" s="266" t="s">
        <v>531</v>
      </c>
      <c r="I109" s="405" t="s">
        <v>532</v>
      </c>
      <c r="J109" s="265">
        <v>1</v>
      </c>
      <c r="K109" s="268">
        <v>150</v>
      </c>
      <c r="L109" s="268">
        <f>+Tabla1[[#This Row],[Precio Unitario]]*Tabla1[[#This Row],[Cantidad de Insumos]]</f>
        <v>150</v>
      </c>
      <c r="M109" s="269" t="s">
        <v>533</v>
      </c>
      <c r="N109" s="266" t="s">
        <v>66</v>
      </c>
    </row>
    <row r="110" spans="2:14" ht="12.75" x14ac:dyDescent="0.2">
      <c r="B110" s="14" t="str">
        <f>IF(Tabla1[[#This Row],[Código_Actividad]]="","",CONCATENATE(Tabla1[[#This Row],[POA]],".",Tabla1[[#This Row],[SRS]],".",Tabla1[[#This Row],[AREA]],".",Tabla1[[#This Row],[TIPO]]))</f>
        <v/>
      </c>
      <c r="C110" s="14"/>
      <c r="D110" s="14"/>
      <c r="E110" s="14"/>
      <c r="F110" s="14"/>
      <c r="G110" s="265"/>
      <c r="H110" s="266" t="s">
        <v>544</v>
      </c>
      <c r="I110" s="266" t="s">
        <v>540</v>
      </c>
      <c r="J110" s="265">
        <v>1</v>
      </c>
      <c r="K110" s="268">
        <v>1200</v>
      </c>
      <c r="L110" s="268">
        <f>+Tabla1[[#This Row],[Precio Unitario]]*Tabla1[[#This Row],[Cantidad de Insumos]]</f>
        <v>1200</v>
      </c>
      <c r="M110" s="269" t="s">
        <v>545</v>
      </c>
      <c r="N110" s="266" t="s">
        <v>66</v>
      </c>
    </row>
    <row r="111" spans="2:14" ht="12.75" x14ac:dyDescent="0.2">
      <c r="B111" s="14" t="str">
        <f>IF(Tabla1[[#This Row],[Código_Actividad]]="","",CONCATENATE(Tabla1[[#This Row],[POA]],".",Tabla1[[#This Row],[SRS]],".",Tabla1[[#This Row],[AREA]],".",Tabla1[[#This Row],[TIPO]]))</f>
        <v/>
      </c>
      <c r="C111" s="14"/>
      <c r="D111" s="14"/>
      <c r="E111" s="14"/>
      <c r="F111" s="14"/>
      <c r="G111" s="265"/>
      <c r="H111" s="266" t="s">
        <v>546</v>
      </c>
      <c r="I111" s="266" t="s">
        <v>526</v>
      </c>
      <c r="J111" s="265">
        <v>1</v>
      </c>
      <c r="K111" s="268">
        <v>100</v>
      </c>
      <c r="L111" s="268">
        <f>+Tabla1[[#This Row],[Precio Unitario]]*Tabla1[[#This Row],[Cantidad de Insumos]]</f>
        <v>100</v>
      </c>
      <c r="M111" s="269" t="s">
        <v>529</v>
      </c>
      <c r="N111" s="266" t="s">
        <v>508</v>
      </c>
    </row>
    <row r="112" spans="2:14" ht="12.75" x14ac:dyDescent="0.2">
      <c r="B112" s="14" t="str">
        <f>IF(Tabla1[[#This Row],[Código_Actividad]]="","",CONCATENATE(Tabla1[[#This Row],[POA]],".",Tabla1[[#This Row],[SRS]],".",Tabla1[[#This Row],[AREA]],".",Tabla1[[#This Row],[TIPO]]))</f>
        <v>...</v>
      </c>
      <c r="C112" s="14" t="s">
        <v>523</v>
      </c>
      <c r="D112" s="14" t="s">
        <v>523</v>
      </c>
      <c r="E112" s="14" t="s">
        <v>523</v>
      </c>
      <c r="F112" s="14" t="s">
        <v>523</v>
      </c>
      <c r="G112" s="265" t="s">
        <v>189</v>
      </c>
      <c r="H112" s="266" t="s">
        <v>525</v>
      </c>
      <c r="I112" s="266" t="s">
        <v>526</v>
      </c>
      <c r="J112" s="265">
        <v>1</v>
      </c>
      <c r="K112" s="267">
        <v>35000</v>
      </c>
      <c r="L112" s="268">
        <f>+Tabla1[[#This Row],[Precio Unitario]]*Tabla1[[#This Row],[Cantidad de Insumos]]</f>
        <v>35000</v>
      </c>
      <c r="M112" s="269" t="s">
        <v>527</v>
      </c>
      <c r="N112" s="266" t="s">
        <v>508</v>
      </c>
    </row>
    <row r="113" spans="2:14" ht="12.75" x14ac:dyDescent="0.2">
      <c r="B113" s="14" t="str">
        <f>IF(Tabla1[[#This Row],[Código_Actividad]]="","",CONCATENATE(Tabla1[[#This Row],[POA]],".",Tabla1[[#This Row],[SRS]],".",Tabla1[[#This Row],[AREA]],".",Tabla1[[#This Row],[TIPO]]))</f>
        <v/>
      </c>
      <c r="C113" s="14"/>
      <c r="D113" s="14"/>
      <c r="E113" s="14"/>
      <c r="F113" s="14"/>
      <c r="G113" s="265"/>
      <c r="H113" s="266" t="s">
        <v>547</v>
      </c>
      <c r="I113" s="266" t="s">
        <v>526</v>
      </c>
      <c r="J113" s="265">
        <v>1</v>
      </c>
      <c r="K113" s="268">
        <v>60000</v>
      </c>
      <c r="L113" s="268">
        <f>+Tabla1[[#This Row],[Precio Unitario]]*Tabla1[[#This Row],[Cantidad de Insumos]]</f>
        <v>60000</v>
      </c>
      <c r="M113" s="269" t="s">
        <v>527</v>
      </c>
      <c r="N113" s="266" t="s">
        <v>508</v>
      </c>
    </row>
    <row r="114" spans="2:14" ht="12.75" x14ac:dyDescent="0.2">
      <c r="B114" s="14" t="str">
        <f>IF(Tabla1[[#This Row],[Código_Actividad]]="","",CONCATENATE(Tabla1[[#This Row],[POA]],".",Tabla1[[#This Row],[SRS]],".",Tabla1[[#This Row],[AREA]],".",Tabla1[[#This Row],[TIPO]]))</f>
        <v/>
      </c>
      <c r="C114" s="14"/>
      <c r="D114" s="14"/>
      <c r="E114" s="14"/>
      <c r="F114" s="14"/>
      <c r="G114" s="265"/>
      <c r="H114" s="266" t="s">
        <v>534</v>
      </c>
      <c r="I114" s="266" t="s">
        <v>526</v>
      </c>
      <c r="J114" s="265">
        <v>1</v>
      </c>
      <c r="K114" s="268">
        <v>1400</v>
      </c>
      <c r="L114" s="268">
        <f>+Tabla1[[#This Row],[Precio Unitario]]*Tabla1[[#This Row],[Cantidad de Insumos]]</f>
        <v>1400</v>
      </c>
      <c r="M114" s="269" t="s">
        <v>529</v>
      </c>
      <c r="N114" s="266" t="s">
        <v>66</v>
      </c>
    </row>
    <row r="115" spans="2:14" ht="12.75" x14ac:dyDescent="0.2">
      <c r="B115" s="14" t="str">
        <f>IF(Tabla1[[#This Row],[Código_Actividad]]="","",CONCATENATE(Tabla1[[#This Row],[POA]],".",Tabla1[[#This Row],[SRS]],".",Tabla1[[#This Row],[AREA]],".",Tabla1[[#This Row],[TIPO]]))</f>
        <v/>
      </c>
      <c r="C115" s="14"/>
      <c r="D115" s="14"/>
      <c r="E115" s="14"/>
      <c r="F115" s="14"/>
      <c r="G115" s="265"/>
      <c r="H115" s="266" t="s">
        <v>535</v>
      </c>
      <c r="I115" s="266" t="s">
        <v>536</v>
      </c>
      <c r="J115" s="265">
        <v>1</v>
      </c>
      <c r="K115" s="268">
        <v>500</v>
      </c>
      <c r="L115" s="268">
        <f>+Tabla1[[#This Row],[Precio Unitario]]*Tabla1[[#This Row],[Cantidad de Insumos]]</f>
        <v>500</v>
      </c>
      <c r="M115" s="269" t="s">
        <v>533</v>
      </c>
      <c r="N115" s="266" t="s">
        <v>66</v>
      </c>
    </row>
    <row r="116" spans="2:14" ht="12.75" x14ac:dyDescent="0.2">
      <c r="B116" s="14" t="str">
        <f>IF(Tabla1[[#This Row],[Código_Actividad]]="","",CONCATENATE(Tabla1[[#This Row],[POA]],".",Tabla1[[#This Row],[SRS]],".",Tabla1[[#This Row],[AREA]],".",Tabla1[[#This Row],[TIPO]]))</f>
        <v/>
      </c>
      <c r="C116" s="14"/>
      <c r="D116" s="14"/>
      <c r="E116" s="14"/>
      <c r="F116" s="14"/>
      <c r="G116" s="265"/>
      <c r="H116" s="266" t="s">
        <v>537</v>
      </c>
      <c r="I116" s="266" t="s">
        <v>526</v>
      </c>
      <c r="J116" s="265">
        <v>1</v>
      </c>
      <c r="K116" s="268">
        <v>180</v>
      </c>
      <c r="L116" s="268">
        <f>+Tabla1[[#This Row],[Precio Unitario]]*Tabla1[[#This Row],[Cantidad de Insumos]]</f>
        <v>180</v>
      </c>
      <c r="M116" s="269" t="s">
        <v>538</v>
      </c>
      <c r="N116" s="266" t="s">
        <v>66</v>
      </c>
    </row>
    <row r="117" spans="2:14" ht="12.75" x14ac:dyDescent="0.2">
      <c r="B117" s="14" t="str">
        <f>IF(Tabla1[[#This Row],[Código_Actividad]]="","",CONCATENATE(Tabla1[[#This Row],[POA]],".",Tabla1[[#This Row],[SRS]],".",Tabla1[[#This Row],[AREA]],".",Tabla1[[#This Row],[TIPO]]))</f>
        <v/>
      </c>
      <c r="C117" s="14"/>
      <c r="D117" s="14"/>
      <c r="E117" s="14"/>
      <c r="F117" s="14"/>
      <c r="G117" s="265"/>
      <c r="H117" s="266" t="s">
        <v>539</v>
      </c>
      <c r="I117" s="266" t="s">
        <v>540</v>
      </c>
      <c r="J117" s="265">
        <v>1</v>
      </c>
      <c r="K117" s="268">
        <v>120</v>
      </c>
      <c r="L117" s="268">
        <f>+Tabla1[[#This Row],[Precio Unitario]]*Tabla1[[#This Row],[Cantidad de Insumos]]</f>
        <v>120</v>
      </c>
      <c r="M117" s="269" t="s">
        <v>529</v>
      </c>
      <c r="N117" s="266" t="s">
        <v>66</v>
      </c>
    </row>
    <row r="118" spans="2:14" ht="12.75" x14ac:dyDescent="0.2">
      <c r="B118" s="14" t="str">
        <f>IF(Tabla1[[#This Row],[Código_Actividad]]="","",CONCATENATE(Tabla1[[#This Row],[POA]],".",Tabla1[[#This Row],[SRS]],".",Tabla1[[#This Row],[AREA]],".",Tabla1[[#This Row],[TIPO]]))</f>
        <v/>
      </c>
      <c r="C118" s="14"/>
      <c r="D118" s="14"/>
      <c r="E118" s="14"/>
      <c r="F118" s="14"/>
      <c r="G118" s="265"/>
      <c r="H118" s="266" t="s">
        <v>541</v>
      </c>
      <c r="I118" s="266" t="s">
        <v>526</v>
      </c>
      <c r="J118" s="265">
        <v>1</v>
      </c>
      <c r="K118" s="268">
        <v>4500</v>
      </c>
      <c r="L118" s="268">
        <f>+Tabla1[[#This Row],[Precio Unitario]]*Tabla1[[#This Row],[Cantidad de Insumos]]</f>
        <v>4500</v>
      </c>
      <c r="M118" s="269" t="s">
        <v>542</v>
      </c>
      <c r="N118" s="266" t="s">
        <v>66</v>
      </c>
    </row>
    <row r="119" spans="2:14" ht="12.75" x14ac:dyDescent="0.2">
      <c r="B119" s="14" t="str">
        <f>IF(Tabla1[[#This Row],[Código_Actividad]]="","",CONCATENATE(Tabla1[[#This Row],[POA]],".",Tabla1[[#This Row],[SRS]],".",Tabla1[[#This Row],[AREA]],".",Tabla1[[#This Row],[TIPO]]))</f>
        <v/>
      </c>
      <c r="C119" s="14"/>
      <c r="D119" s="14"/>
      <c r="E119" s="14"/>
      <c r="F119" s="14"/>
      <c r="G119" s="265"/>
      <c r="H119" s="266" t="s">
        <v>543</v>
      </c>
      <c r="I119" s="266" t="s">
        <v>540</v>
      </c>
      <c r="J119" s="265">
        <v>1</v>
      </c>
      <c r="K119" s="268">
        <v>600</v>
      </c>
      <c r="L119" s="268">
        <f>+Tabla1[[#This Row],[Precio Unitario]]*Tabla1[[#This Row],[Cantidad de Insumos]]</f>
        <v>600</v>
      </c>
      <c r="M119" s="269" t="s">
        <v>529</v>
      </c>
      <c r="N119" s="266" t="s">
        <v>66</v>
      </c>
    </row>
    <row r="120" spans="2:14" ht="12.75" x14ac:dyDescent="0.2">
      <c r="B120" s="14" t="str">
        <f>IF(Tabla1[[#This Row],[Código_Actividad]]="","",CONCATENATE(Tabla1[[#This Row],[POA]],".",Tabla1[[#This Row],[SRS]],".",Tabla1[[#This Row],[AREA]],".",Tabla1[[#This Row],[TIPO]]))</f>
        <v/>
      </c>
      <c r="C120" s="14"/>
      <c r="D120" s="14"/>
      <c r="E120" s="14"/>
      <c r="F120" s="14"/>
      <c r="G120" s="265"/>
      <c r="H120" s="266" t="s">
        <v>544</v>
      </c>
      <c r="I120" s="266" t="s">
        <v>540</v>
      </c>
      <c r="J120" s="265">
        <v>1</v>
      </c>
      <c r="K120" s="268">
        <v>1200</v>
      </c>
      <c r="L120" s="268">
        <f>+Tabla1[[#This Row],[Precio Unitario]]*Tabla1[[#This Row],[Cantidad de Insumos]]</f>
        <v>1200</v>
      </c>
      <c r="M120" s="269" t="s">
        <v>545</v>
      </c>
      <c r="N120" s="266" t="s">
        <v>66</v>
      </c>
    </row>
    <row r="121" spans="2:14" ht="12.75" x14ac:dyDescent="0.2">
      <c r="B121" s="14" t="str">
        <f>IF(Tabla1[[#This Row],[Código_Actividad]]="","",CONCATENATE(Tabla1[[#This Row],[POA]],".",Tabla1[[#This Row],[SRS]],".",Tabla1[[#This Row],[AREA]],".",Tabla1[[#This Row],[TIPO]]))</f>
        <v/>
      </c>
      <c r="C121" s="14"/>
      <c r="D121" s="14"/>
      <c r="E121" s="14"/>
      <c r="F121" s="14"/>
      <c r="G121" s="265"/>
      <c r="H121" s="266" t="s">
        <v>546</v>
      </c>
      <c r="I121" s="266" t="s">
        <v>526</v>
      </c>
      <c r="J121" s="265">
        <v>1</v>
      </c>
      <c r="K121" s="268">
        <v>100</v>
      </c>
      <c r="L121" s="268">
        <f>+Tabla1[[#This Row],[Precio Unitario]]*Tabla1[[#This Row],[Cantidad de Insumos]]</f>
        <v>100</v>
      </c>
      <c r="M121" s="269" t="s">
        <v>529</v>
      </c>
      <c r="N121" s="266" t="s">
        <v>508</v>
      </c>
    </row>
    <row r="122" spans="2:14" ht="12.75" x14ac:dyDescent="0.2">
      <c r="B122" s="14" t="str">
        <f>IF(Tabla1[[#This Row],[Código_Actividad]]="","",CONCATENATE(Tabla1[[#This Row],[POA]],".",Tabla1[[#This Row],[SRS]],".",Tabla1[[#This Row],[AREA]],".",Tabla1[[#This Row],[TIPO]]))</f>
        <v>...</v>
      </c>
      <c r="C122" s="14" t="s">
        <v>523</v>
      </c>
      <c r="D122" s="14" t="s">
        <v>523</v>
      </c>
      <c r="E122" s="14" t="s">
        <v>523</v>
      </c>
      <c r="F122" s="14" t="s">
        <v>523</v>
      </c>
      <c r="G122" s="265" t="s">
        <v>191</v>
      </c>
      <c r="H122" s="266" t="s">
        <v>525</v>
      </c>
      <c r="I122" s="266" t="s">
        <v>526</v>
      </c>
      <c r="J122" s="265">
        <v>1</v>
      </c>
      <c r="K122" s="267">
        <v>35000</v>
      </c>
      <c r="L122" s="268">
        <f>+Tabla1[[#This Row],[Precio Unitario]]*Tabla1[[#This Row],[Cantidad de Insumos]]</f>
        <v>35000</v>
      </c>
      <c r="M122" s="269" t="s">
        <v>527</v>
      </c>
      <c r="N122" s="266" t="s">
        <v>508</v>
      </c>
    </row>
    <row r="123" spans="2:14" ht="12.75" x14ac:dyDescent="0.2">
      <c r="B123" s="14" t="str">
        <f>IF(Tabla1[[#This Row],[Código_Actividad]]="","",CONCATENATE(Tabla1[[#This Row],[POA]],".",Tabla1[[#This Row],[SRS]],".",Tabla1[[#This Row],[AREA]],".",Tabla1[[#This Row],[TIPO]]))</f>
        <v/>
      </c>
      <c r="C123" s="14"/>
      <c r="D123" s="14"/>
      <c r="E123" s="14"/>
      <c r="F123" s="14"/>
      <c r="G123" s="265"/>
      <c r="H123" s="266" t="s">
        <v>534</v>
      </c>
      <c r="I123" s="266" t="s">
        <v>526</v>
      </c>
      <c r="J123" s="265">
        <v>1</v>
      </c>
      <c r="K123" s="268">
        <v>1400</v>
      </c>
      <c r="L123" s="268">
        <f>+Tabla1[[#This Row],[Precio Unitario]]*Tabla1[[#This Row],[Cantidad de Insumos]]</f>
        <v>1400</v>
      </c>
      <c r="M123" s="269" t="s">
        <v>529</v>
      </c>
      <c r="N123" s="266" t="s">
        <v>66</v>
      </c>
    </row>
    <row r="124" spans="2:14" ht="12.75" x14ac:dyDescent="0.2">
      <c r="B124" s="14" t="str">
        <f>IF(Tabla1[[#This Row],[Código_Actividad]]="","",CONCATENATE(Tabla1[[#This Row],[POA]],".",Tabla1[[#This Row],[SRS]],".",Tabla1[[#This Row],[AREA]],".",Tabla1[[#This Row],[TIPO]]))</f>
        <v/>
      </c>
      <c r="C124" s="14"/>
      <c r="D124" s="14"/>
      <c r="E124" s="14"/>
      <c r="F124" s="14"/>
      <c r="G124" s="265"/>
      <c r="H124" s="266" t="s">
        <v>535</v>
      </c>
      <c r="I124" s="266" t="s">
        <v>536</v>
      </c>
      <c r="J124" s="265">
        <v>1</v>
      </c>
      <c r="K124" s="268">
        <v>500</v>
      </c>
      <c r="L124" s="268">
        <f>+Tabla1[[#This Row],[Precio Unitario]]*Tabla1[[#This Row],[Cantidad de Insumos]]</f>
        <v>500</v>
      </c>
      <c r="M124" s="269" t="s">
        <v>533</v>
      </c>
      <c r="N124" s="266" t="s">
        <v>66</v>
      </c>
    </row>
    <row r="125" spans="2:14" ht="12.75" x14ac:dyDescent="0.2">
      <c r="B125" s="14" t="str">
        <f>IF(Tabla1[[#This Row],[Código_Actividad]]="","",CONCATENATE(Tabla1[[#This Row],[POA]],".",Tabla1[[#This Row],[SRS]],".",Tabla1[[#This Row],[AREA]],".",Tabla1[[#This Row],[TIPO]]))</f>
        <v/>
      </c>
      <c r="C125" s="14"/>
      <c r="D125" s="14"/>
      <c r="E125" s="14"/>
      <c r="F125" s="14"/>
      <c r="G125" s="265"/>
      <c r="H125" s="266" t="s">
        <v>537</v>
      </c>
      <c r="I125" s="266" t="s">
        <v>526</v>
      </c>
      <c r="J125" s="265">
        <v>1</v>
      </c>
      <c r="K125" s="268">
        <v>180</v>
      </c>
      <c r="L125" s="268">
        <f>+Tabla1[[#This Row],[Precio Unitario]]*Tabla1[[#This Row],[Cantidad de Insumos]]</f>
        <v>180</v>
      </c>
      <c r="M125" s="269" t="s">
        <v>538</v>
      </c>
      <c r="N125" s="266" t="s">
        <v>66</v>
      </c>
    </row>
    <row r="126" spans="2:14" ht="12.75" x14ac:dyDescent="0.2">
      <c r="B126" s="14" t="str">
        <f>IF(Tabla1[[#This Row],[Código_Actividad]]="","",CONCATENATE(Tabla1[[#This Row],[POA]],".",Tabla1[[#This Row],[SRS]],".",Tabla1[[#This Row],[AREA]],".",Tabla1[[#This Row],[TIPO]]))</f>
        <v/>
      </c>
      <c r="C126" s="14"/>
      <c r="D126" s="14"/>
      <c r="E126" s="14"/>
      <c r="F126" s="14"/>
      <c r="G126" s="265"/>
      <c r="H126" s="266" t="s">
        <v>539</v>
      </c>
      <c r="I126" s="266" t="s">
        <v>540</v>
      </c>
      <c r="J126" s="265">
        <v>1</v>
      </c>
      <c r="K126" s="268">
        <v>120</v>
      </c>
      <c r="L126" s="268">
        <f>+Tabla1[[#This Row],[Precio Unitario]]*Tabla1[[#This Row],[Cantidad de Insumos]]</f>
        <v>120</v>
      </c>
      <c r="M126" s="269" t="s">
        <v>529</v>
      </c>
      <c r="N126" s="266" t="s">
        <v>66</v>
      </c>
    </row>
    <row r="127" spans="2:14" ht="12.75" x14ac:dyDescent="0.2">
      <c r="B127" s="14" t="str">
        <f>IF(Tabla1[[#This Row],[Código_Actividad]]="","",CONCATENATE(Tabla1[[#This Row],[POA]],".",Tabla1[[#This Row],[SRS]],".",Tabla1[[#This Row],[AREA]],".",Tabla1[[#This Row],[TIPO]]))</f>
        <v/>
      </c>
      <c r="C127" s="14"/>
      <c r="D127" s="14"/>
      <c r="E127" s="14"/>
      <c r="F127" s="14"/>
      <c r="G127" s="265"/>
      <c r="H127" s="266" t="s">
        <v>541</v>
      </c>
      <c r="I127" s="266" t="s">
        <v>526</v>
      </c>
      <c r="J127" s="265">
        <v>1</v>
      </c>
      <c r="K127" s="268">
        <v>4500</v>
      </c>
      <c r="L127" s="268">
        <f>+Tabla1[[#This Row],[Precio Unitario]]*Tabla1[[#This Row],[Cantidad de Insumos]]</f>
        <v>4500</v>
      </c>
      <c r="M127" s="269" t="s">
        <v>542</v>
      </c>
      <c r="N127" s="266" t="s">
        <v>66</v>
      </c>
    </row>
    <row r="128" spans="2:14" ht="12.75" x14ac:dyDescent="0.2">
      <c r="B128" s="14" t="str">
        <f>IF(Tabla1[[#This Row],[Código_Actividad]]="","",CONCATENATE(Tabla1[[#This Row],[POA]],".",Tabla1[[#This Row],[SRS]],".",Tabla1[[#This Row],[AREA]],".",Tabla1[[#This Row],[TIPO]]))</f>
        <v/>
      </c>
      <c r="C128" s="14"/>
      <c r="D128" s="14"/>
      <c r="E128" s="14"/>
      <c r="F128" s="14"/>
      <c r="G128" s="265"/>
      <c r="H128" s="266" t="s">
        <v>543</v>
      </c>
      <c r="I128" s="266" t="s">
        <v>540</v>
      </c>
      <c r="J128" s="265">
        <v>1</v>
      </c>
      <c r="K128" s="268">
        <v>600</v>
      </c>
      <c r="L128" s="268">
        <f>+Tabla1[[#This Row],[Precio Unitario]]*Tabla1[[#This Row],[Cantidad de Insumos]]</f>
        <v>600</v>
      </c>
      <c r="M128" s="269" t="s">
        <v>529</v>
      </c>
      <c r="N128" s="266" t="s">
        <v>66</v>
      </c>
    </row>
    <row r="129" spans="2:14" ht="12.75" x14ac:dyDescent="0.2">
      <c r="B129" s="14" t="str">
        <f>IF(Tabla1[[#This Row],[Código_Actividad]]="","",CONCATENATE(Tabla1[[#This Row],[POA]],".",Tabla1[[#This Row],[SRS]],".",Tabla1[[#This Row],[AREA]],".",Tabla1[[#This Row],[TIPO]]))</f>
        <v/>
      </c>
      <c r="C129" s="14"/>
      <c r="D129" s="14"/>
      <c r="E129" s="14"/>
      <c r="F129" s="14"/>
      <c r="G129" s="265"/>
      <c r="H129" s="266" t="s">
        <v>530</v>
      </c>
      <c r="I129" s="405" t="s">
        <v>526</v>
      </c>
      <c r="J129" s="265">
        <v>4</v>
      </c>
      <c r="K129" s="268">
        <v>30</v>
      </c>
      <c r="L129" s="268">
        <f>+Tabla1[[#This Row],[Precio Unitario]]*Tabla1[[#This Row],[Cantidad de Insumos]]</f>
        <v>120</v>
      </c>
      <c r="M129" s="269" t="s">
        <v>529</v>
      </c>
      <c r="N129" s="266" t="s">
        <v>66</v>
      </c>
    </row>
    <row r="130" spans="2:14" ht="12.75" x14ac:dyDescent="0.2">
      <c r="B130" s="14" t="str">
        <f>IF(Tabla1[[#This Row],[Código_Actividad]]="","",CONCATENATE(Tabla1[[#This Row],[POA]],".",Tabla1[[#This Row],[SRS]],".",Tabla1[[#This Row],[AREA]],".",Tabla1[[#This Row],[TIPO]]))</f>
        <v/>
      </c>
      <c r="C130" s="14"/>
      <c r="D130" s="14"/>
      <c r="E130" s="14"/>
      <c r="F130" s="14"/>
      <c r="G130" s="265"/>
      <c r="H130" s="266" t="s">
        <v>531</v>
      </c>
      <c r="I130" s="405" t="s">
        <v>532</v>
      </c>
      <c r="J130" s="265">
        <v>1</v>
      </c>
      <c r="K130" s="268">
        <v>150</v>
      </c>
      <c r="L130" s="268">
        <f>+Tabla1[[#This Row],[Precio Unitario]]*Tabla1[[#This Row],[Cantidad de Insumos]]</f>
        <v>150</v>
      </c>
      <c r="M130" s="269" t="s">
        <v>533</v>
      </c>
      <c r="N130" s="266" t="s">
        <v>66</v>
      </c>
    </row>
    <row r="131" spans="2:14" ht="12.75" x14ac:dyDescent="0.2">
      <c r="B131" s="14" t="str">
        <f>IF(Tabla1[[#This Row],[Código_Actividad]]="","",CONCATENATE(Tabla1[[#This Row],[POA]],".",Tabla1[[#This Row],[SRS]],".",Tabla1[[#This Row],[AREA]],".",Tabla1[[#This Row],[TIPO]]))</f>
        <v/>
      </c>
      <c r="C131" s="14"/>
      <c r="D131" s="14"/>
      <c r="E131" s="14"/>
      <c r="F131" s="14"/>
      <c r="G131" s="265"/>
      <c r="H131" s="266" t="s">
        <v>544</v>
      </c>
      <c r="I131" s="266" t="s">
        <v>540</v>
      </c>
      <c r="J131" s="265">
        <v>1</v>
      </c>
      <c r="K131" s="268">
        <v>1200</v>
      </c>
      <c r="L131" s="268">
        <f>+Tabla1[[#This Row],[Precio Unitario]]*Tabla1[[#This Row],[Cantidad de Insumos]]</f>
        <v>1200</v>
      </c>
      <c r="M131" s="269" t="s">
        <v>545</v>
      </c>
      <c r="N131" s="266" t="s">
        <v>66</v>
      </c>
    </row>
    <row r="132" spans="2:14" ht="12.75" x14ac:dyDescent="0.2">
      <c r="B132" s="14" t="str">
        <f>IF(Tabla1[[#This Row],[Código_Actividad]]="","",CONCATENATE(Tabla1[[#This Row],[POA]],".",Tabla1[[#This Row],[SRS]],".",Tabla1[[#This Row],[AREA]],".",Tabla1[[#This Row],[TIPO]]))</f>
        <v/>
      </c>
      <c r="C132" s="14"/>
      <c r="D132" s="14"/>
      <c r="E132" s="14"/>
      <c r="F132" s="14"/>
      <c r="G132" s="265"/>
      <c r="H132" s="266" t="s">
        <v>546</v>
      </c>
      <c r="I132" s="266" t="s">
        <v>526</v>
      </c>
      <c r="J132" s="265">
        <v>1</v>
      </c>
      <c r="K132" s="268">
        <v>100</v>
      </c>
      <c r="L132" s="268">
        <f>+Tabla1[[#This Row],[Precio Unitario]]*Tabla1[[#This Row],[Cantidad de Insumos]]</f>
        <v>100</v>
      </c>
      <c r="M132" s="269" t="s">
        <v>529</v>
      </c>
      <c r="N132" s="266" t="s">
        <v>508</v>
      </c>
    </row>
    <row r="133" spans="2:14" ht="12.75" x14ac:dyDescent="0.2">
      <c r="B133" s="14" t="str">
        <f>IF(Tabla1[[#This Row],[Código_Actividad]]="","",CONCATENATE(Tabla1[[#This Row],[POA]],".",Tabla1[[#This Row],[SRS]],".",Tabla1[[#This Row],[AREA]],".",Tabla1[[#This Row],[TIPO]]))</f>
        <v>...</v>
      </c>
      <c r="C133" s="14" t="s">
        <v>523</v>
      </c>
      <c r="D133" s="14" t="s">
        <v>523</v>
      </c>
      <c r="E133" s="14" t="s">
        <v>523</v>
      </c>
      <c r="F133" s="14" t="s">
        <v>523</v>
      </c>
      <c r="G133" s="265" t="s">
        <v>196</v>
      </c>
      <c r="H133" s="266" t="s">
        <v>525</v>
      </c>
      <c r="I133" s="266" t="s">
        <v>526</v>
      </c>
      <c r="J133" s="265">
        <v>1</v>
      </c>
      <c r="K133" s="267">
        <v>35000</v>
      </c>
      <c r="L133" s="268">
        <f>+Tabla1[[#This Row],[Precio Unitario]]*Tabla1[[#This Row],[Cantidad de Insumos]]</f>
        <v>35000</v>
      </c>
      <c r="M133" s="269" t="s">
        <v>527</v>
      </c>
      <c r="N133" s="266" t="s">
        <v>508</v>
      </c>
    </row>
    <row r="134" spans="2:14" ht="12.75" x14ac:dyDescent="0.2">
      <c r="B134" s="14" t="str">
        <f>IF(Tabla1[[#This Row],[Código_Actividad]]="","",CONCATENATE(Tabla1[[#This Row],[POA]],".",Tabla1[[#This Row],[SRS]],".",Tabla1[[#This Row],[AREA]],".",Tabla1[[#This Row],[TIPO]]))</f>
        <v/>
      </c>
      <c r="C134" s="14"/>
      <c r="D134" s="14"/>
      <c r="E134" s="14"/>
      <c r="F134" s="14"/>
      <c r="G134" s="265"/>
      <c r="H134" s="266" t="s">
        <v>547</v>
      </c>
      <c r="I134" s="266" t="s">
        <v>526</v>
      </c>
      <c r="J134" s="265">
        <v>1</v>
      </c>
      <c r="K134" s="268">
        <v>60000</v>
      </c>
      <c r="L134" s="268">
        <f>+Tabla1[[#This Row],[Precio Unitario]]*Tabla1[[#This Row],[Cantidad de Insumos]]</f>
        <v>60000</v>
      </c>
      <c r="M134" s="269" t="s">
        <v>527</v>
      </c>
      <c r="N134" s="266" t="s">
        <v>508</v>
      </c>
    </row>
    <row r="135" spans="2:14" ht="12.75" x14ac:dyDescent="0.2">
      <c r="B135" s="14" t="str">
        <f>IF(Tabla1[[#This Row],[Código_Actividad]]="","",CONCATENATE(Tabla1[[#This Row],[POA]],".",Tabla1[[#This Row],[SRS]],".",Tabla1[[#This Row],[AREA]],".",Tabla1[[#This Row],[TIPO]]))</f>
        <v/>
      </c>
      <c r="C135" s="14"/>
      <c r="D135" s="14"/>
      <c r="E135" s="14"/>
      <c r="F135" s="14"/>
      <c r="G135" s="265"/>
      <c r="H135" s="266" t="s">
        <v>534</v>
      </c>
      <c r="I135" s="266" t="s">
        <v>526</v>
      </c>
      <c r="J135" s="265">
        <v>1</v>
      </c>
      <c r="K135" s="268">
        <v>1400</v>
      </c>
      <c r="L135" s="268">
        <f>+Tabla1[[#This Row],[Precio Unitario]]*Tabla1[[#This Row],[Cantidad de Insumos]]</f>
        <v>1400</v>
      </c>
      <c r="M135" s="269" t="s">
        <v>529</v>
      </c>
      <c r="N135" s="266" t="s">
        <v>66</v>
      </c>
    </row>
    <row r="136" spans="2:14" ht="12.75" x14ac:dyDescent="0.2">
      <c r="B136" s="14" t="str">
        <f>IF(Tabla1[[#This Row],[Código_Actividad]]="","",CONCATENATE(Tabla1[[#This Row],[POA]],".",Tabla1[[#This Row],[SRS]],".",Tabla1[[#This Row],[AREA]],".",Tabla1[[#This Row],[TIPO]]))</f>
        <v/>
      </c>
      <c r="C136" s="14"/>
      <c r="D136" s="14"/>
      <c r="E136" s="14"/>
      <c r="F136" s="14"/>
      <c r="G136" s="265"/>
      <c r="H136" s="266" t="s">
        <v>535</v>
      </c>
      <c r="I136" s="266" t="s">
        <v>536</v>
      </c>
      <c r="J136" s="265">
        <v>1</v>
      </c>
      <c r="K136" s="268">
        <v>500</v>
      </c>
      <c r="L136" s="268">
        <f>+Tabla1[[#This Row],[Precio Unitario]]*Tabla1[[#This Row],[Cantidad de Insumos]]</f>
        <v>500</v>
      </c>
      <c r="M136" s="269" t="s">
        <v>533</v>
      </c>
      <c r="N136" s="266" t="s">
        <v>66</v>
      </c>
    </row>
    <row r="137" spans="2:14" ht="12.75" x14ac:dyDescent="0.2">
      <c r="B137" s="14" t="str">
        <f>IF(Tabla1[[#This Row],[Código_Actividad]]="","",CONCATENATE(Tabla1[[#This Row],[POA]],".",Tabla1[[#This Row],[SRS]],".",Tabla1[[#This Row],[AREA]],".",Tabla1[[#This Row],[TIPO]]))</f>
        <v/>
      </c>
      <c r="C137" s="14"/>
      <c r="D137" s="14"/>
      <c r="E137" s="14"/>
      <c r="F137" s="14"/>
      <c r="G137" s="265"/>
      <c r="H137" s="266" t="s">
        <v>537</v>
      </c>
      <c r="I137" s="266" t="s">
        <v>526</v>
      </c>
      <c r="J137" s="265">
        <v>1</v>
      </c>
      <c r="K137" s="268">
        <v>180</v>
      </c>
      <c r="L137" s="268">
        <f>+Tabla1[[#This Row],[Precio Unitario]]*Tabla1[[#This Row],[Cantidad de Insumos]]</f>
        <v>180</v>
      </c>
      <c r="M137" s="269" t="s">
        <v>538</v>
      </c>
      <c r="N137" s="266" t="s">
        <v>66</v>
      </c>
    </row>
    <row r="138" spans="2:14" ht="12.75" x14ac:dyDescent="0.2">
      <c r="B138" s="14" t="str">
        <f>IF(Tabla1[[#This Row],[Código_Actividad]]="","",CONCATENATE(Tabla1[[#This Row],[POA]],".",Tabla1[[#This Row],[SRS]],".",Tabla1[[#This Row],[AREA]],".",Tabla1[[#This Row],[TIPO]]))</f>
        <v/>
      </c>
      <c r="C138" s="14"/>
      <c r="D138" s="14"/>
      <c r="E138" s="14"/>
      <c r="F138" s="14"/>
      <c r="G138" s="265"/>
      <c r="H138" s="266" t="s">
        <v>539</v>
      </c>
      <c r="I138" s="266" t="s">
        <v>540</v>
      </c>
      <c r="J138" s="265">
        <v>1</v>
      </c>
      <c r="K138" s="268">
        <v>120</v>
      </c>
      <c r="L138" s="268">
        <f>+Tabla1[[#This Row],[Precio Unitario]]*Tabla1[[#This Row],[Cantidad de Insumos]]</f>
        <v>120</v>
      </c>
      <c r="M138" s="269" t="s">
        <v>529</v>
      </c>
      <c r="N138" s="266" t="s">
        <v>66</v>
      </c>
    </row>
    <row r="139" spans="2:14" ht="12.75" x14ac:dyDescent="0.2">
      <c r="B139" s="14" t="str">
        <f>IF(Tabla1[[#This Row],[Código_Actividad]]="","",CONCATENATE(Tabla1[[#This Row],[POA]],".",Tabla1[[#This Row],[SRS]],".",Tabla1[[#This Row],[AREA]],".",Tabla1[[#This Row],[TIPO]]))</f>
        <v/>
      </c>
      <c r="C139" s="14"/>
      <c r="D139" s="14"/>
      <c r="E139" s="14"/>
      <c r="F139" s="14"/>
      <c r="G139" s="265"/>
      <c r="H139" s="266" t="s">
        <v>541</v>
      </c>
      <c r="I139" s="266" t="s">
        <v>526</v>
      </c>
      <c r="J139" s="265">
        <v>1</v>
      </c>
      <c r="K139" s="268">
        <v>4500</v>
      </c>
      <c r="L139" s="268">
        <f>+Tabla1[[#This Row],[Precio Unitario]]*Tabla1[[#This Row],[Cantidad de Insumos]]</f>
        <v>4500</v>
      </c>
      <c r="M139" s="269" t="s">
        <v>542</v>
      </c>
      <c r="N139" s="266" t="s">
        <v>66</v>
      </c>
    </row>
    <row r="140" spans="2:14" ht="12.75" x14ac:dyDescent="0.2">
      <c r="B140" s="14" t="str">
        <f>IF(Tabla1[[#This Row],[Código_Actividad]]="","",CONCATENATE(Tabla1[[#This Row],[POA]],".",Tabla1[[#This Row],[SRS]],".",Tabla1[[#This Row],[AREA]],".",Tabla1[[#This Row],[TIPO]]))</f>
        <v/>
      </c>
      <c r="C140" s="14"/>
      <c r="D140" s="14"/>
      <c r="E140" s="14"/>
      <c r="F140" s="14"/>
      <c r="G140" s="265"/>
      <c r="H140" s="266" t="s">
        <v>543</v>
      </c>
      <c r="I140" s="266" t="s">
        <v>540</v>
      </c>
      <c r="J140" s="265">
        <v>1</v>
      </c>
      <c r="K140" s="268">
        <v>600</v>
      </c>
      <c r="L140" s="268">
        <f>+Tabla1[[#This Row],[Precio Unitario]]*Tabla1[[#This Row],[Cantidad de Insumos]]</f>
        <v>600</v>
      </c>
      <c r="M140" s="269" t="s">
        <v>529</v>
      </c>
      <c r="N140" s="266" t="s">
        <v>66</v>
      </c>
    </row>
    <row r="141" spans="2:14" ht="12.75" x14ac:dyDescent="0.2">
      <c r="B141" s="14" t="str">
        <f>IF(Tabla1[[#This Row],[Código_Actividad]]="","",CONCATENATE(Tabla1[[#This Row],[POA]],".",Tabla1[[#This Row],[SRS]],".",Tabla1[[#This Row],[AREA]],".",Tabla1[[#This Row],[TIPO]]))</f>
        <v/>
      </c>
      <c r="C141" s="14"/>
      <c r="D141" s="14"/>
      <c r="E141" s="14"/>
      <c r="F141" s="14"/>
      <c r="G141" s="265"/>
      <c r="H141" s="266" t="s">
        <v>530</v>
      </c>
      <c r="I141" s="405" t="s">
        <v>526</v>
      </c>
      <c r="J141" s="265">
        <v>4</v>
      </c>
      <c r="K141" s="268">
        <v>30</v>
      </c>
      <c r="L141" s="268">
        <f>+Tabla1[[#This Row],[Precio Unitario]]*Tabla1[[#This Row],[Cantidad de Insumos]]</f>
        <v>120</v>
      </c>
      <c r="M141" s="269" t="s">
        <v>529</v>
      </c>
      <c r="N141" s="266" t="s">
        <v>66</v>
      </c>
    </row>
    <row r="142" spans="2:14" ht="12.75" x14ac:dyDescent="0.2">
      <c r="B142" s="14" t="str">
        <f>IF(Tabla1[[#This Row],[Código_Actividad]]="","",CONCATENATE(Tabla1[[#This Row],[POA]],".",Tabla1[[#This Row],[SRS]],".",Tabla1[[#This Row],[AREA]],".",Tabla1[[#This Row],[TIPO]]))</f>
        <v/>
      </c>
      <c r="C142" s="14"/>
      <c r="D142" s="14"/>
      <c r="E142" s="14"/>
      <c r="F142" s="14"/>
      <c r="G142" s="265"/>
      <c r="H142" s="266" t="s">
        <v>531</v>
      </c>
      <c r="I142" s="405" t="s">
        <v>532</v>
      </c>
      <c r="J142" s="265">
        <v>1</v>
      </c>
      <c r="K142" s="268">
        <v>150</v>
      </c>
      <c r="L142" s="268">
        <f>+Tabla1[[#This Row],[Precio Unitario]]*Tabla1[[#This Row],[Cantidad de Insumos]]</f>
        <v>150</v>
      </c>
      <c r="M142" s="269" t="s">
        <v>533</v>
      </c>
      <c r="N142" s="266" t="s">
        <v>66</v>
      </c>
    </row>
    <row r="143" spans="2:14" ht="12.75" x14ac:dyDescent="0.2">
      <c r="B143" s="14" t="str">
        <f>IF(Tabla1[[#This Row],[Código_Actividad]]="","",CONCATENATE(Tabla1[[#This Row],[POA]],".",Tabla1[[#This Row],[SRS]],".",Tabla1[[#This Row],[AREA]],".",Tabla1[[#This Row],[TIPO]]))</f>
        <v/>
      </c>
      <c r="C143" s="14"/>
      <c r="D143" s="14"/>
      <c r="E143" s="14"/>
      <c r="F143" s="14"/>
      <c r="G143" s="265"/>
      <c r="H143" s="266" t="s">
        <v>544</v>
      </c>
      <c r="I143" s="266" t="s">
        <v>540</v>
      </c>
      <c r="J143" s="265">
        <v>1</v>
      </c>
      <c r="K143" s="268">
        <v>1200</v>
      </c>
      <c r="L143" s="268">
        <f>+Tabla1[[#This Row],[Precio Unitario]]*Tabla1[[#This Row],[Cantidad de Insumos]]</f>
        <v>1200</v>
      </c>
      <c r="M143" s="269" t="s">
        <v>545</v>
      </c>
      <c r="N143" s="266" t="s">
        <v>66</v>
      </c>
    </row>
    <row r="144" spans="2:14" ht="12.75" x14ac:dyDescent="0.2">
      <c r="B144" s="14" t="str">
        <f>IF(Tabla1[[#This Row],[Código_Actividad]]="","",CONCATENATE(Tabla1[[#This Row],[POA]],".",Tabla1[[#This Row],[SRS]],".",Tabla1[[#This Row],[AREA]],".",Tabla1[[#This Row],[TIPO]]))</f>
        <v/>
      </c>
      <c r="C144" s="14"/>
      <c r="D144" s="14"/>
      <c r="E144" s="14"/>
      <c r="F144" s="14"/>
      <c r="G144" s="265"/>
      <c r="H144" s="266" t="s">
        <v>546</v>
      </c>
      <c r="I144" s="266" t="s">
        <v>526</v>
      </c>
      <c r="J144" s="265">
        <v>1</v>
      </c>
      <c r="K144" s="268">
        <v>100</v>
      </c>
      <c r="L144" s="268">
        <f>+Tabla1[[#This Row],[Precio Unitario]]*Tabla1[[#This Row],[Cantidad de Insumos]]</f>
        <v>100</v>
      </c>
      <c r="M144" s="269" t="s">
        <v>529</v>
      </c>
      <c r="N144" s="266" t="s">
        <v>508</v>
      </c>
    </row>
    <row r="145" spans="1:43" ht="12.75" x14ac:dyDescent="0.2">
      <c r="B145" s="14" t="str">
        <f>IF(Tabla1[[#This Row],[Código_Actividad]]="","",CONCATENATE(Tabla1[[#This Row],[POA]],".",Tabla1[[#This Row],[SRS]],".",Tabla1[[#This Row],[AREA]],".",Tabla1[[#This Row],[TIPO]]))</f>
        <v>...</v>
      </c>
      <c r="C145" s="14" t="s">
        <v>523</v>
      </c>
      <c r="D145" s="14" t="s">
        <v>523</v>
      </c>
      <c r="E145" s="14" t="s">
        <v>523</v>
      </c>
      <c r="F145" s="14" t="s">
        <v>523</v>
      </c>
      <c r="G145" s="265" t="s">
        <v>198</v>
      </c>
      <c r="H145" s="266" t="s">
        <v>525</v>
      </c>
      <c r="I145" s="266" t="s">
        <v>526</v>
      </c>
      <c r="J145" s="265">
        <v>1</v>
      </c>
      <c r="K145" s="267">
        <v>35000</v>
      </c>
      <c r="L145" s="268">
        <f>+Tabla1[[#This Row],[Precio Unitario]]*Tabla1[[#This Row],[Cantidad de Insumos]]</f>
        <v>35000</v>
      </c>
      <c r="M145" s="269" t="s">
        <v>527</v>
      </c>
      <c r="N145" s="266" t="s">
        <v>508</v>
      </c>
    </row>
    <row r="146" spans="1:43" ht="12.75" x14ac:dyDescent="0.2">
      <c r="B146" s="14" t="str">
        <f>IF(Tabla1[[#This Row],[Código_Actividad]]="","",CONCATENATE(Tabla1[[#This Row],[POA]],".",Tabla1[[#This Row],[SRS]],".",Tabla1[[#This Row],[AREA]],".",Tabla1[[#This Row],[TIPO]]))</f>
        <v/>
      </c>
      <c r="C146" s="14"/>
      <c r="D146" s="14"/>
      <c r="E146" s="14"/>
      <c r="F146" s="14"/>
      <c r="G146" s="265"/>
      <c r="H146" s="266" t="s">
        <v>534</v>
      </c>
      <c r="I146" s="266" t="s">
        <v>526</v>
      </c>
      <c r="J146" s="265">
        <v>1</v>
      </c>
      <c r="K146" s="268">
        <v>1400</v>
      </c>
      <c r="L146" s="268">
        <f>+Tabla1[[#This Row],[Precio Unitario]]*Tabla1[[#This Row],[Cantidad de Insumos]]</f>
        <v>1400</v>
      </c>
      <c r="M146" s="269" t="s">
        <v>529</v>
      </c>
      <c r="N146" s="266" t="s">
        <v>66</v>
      </c>
    </row>
    <row r="147" spans="1:43" ht="12.75" x14ac:dyDescent="0.2">
      <c r="B147" s="14" t="str">
        <f>IF(Tabla1[[#This Row],[Código_Actividad]]="","",CONCATENATE(Tabla1[[#This Row],[POA]],".",Tabla1[[#This Row],[SRS]],".",Tabla1[[#This Row],[AREA]],".",Tabla1[[#This Row],[TIPO]]))</f>
        <v/>
      </c>
      <c r="C147" s="14"/>
      <c r="D147" s="14"/>
      <c r="E147" s="14"/>
      <c r="F147" s="14"/>
      <c r="G147" s="265"/>
      <c r="H147" s="266" t="s">
        <v>535</v>
      </c>
      <c r="I147" s="266" t="s">
        <v>536</v>
      </c>
      <c r="J147" s="265">
        <v>1</v>
      </c>
      <c r="K147" s="268">
        <v>500</v>
      </c>
      <c r="L147" s="268">
        <f>+Tabla1[[#This Row],[Precio Unitario]]*Tabla1[[#This Row],[Cantidad de Insumos]]</f>
        <v>500</v>
      </c>
      <c r="M147" s="269" t="s">
        <v>533</v>
      </c>
      <c r="N147" s="266" t="s">
        <v>66</v>
      </c>
    </row>
    <row r="148" spans="1:43" ht="12.75" x14ac:dyDescent="0.2">
      <c r="B148" s="14" t="str">
        <f>IF(Tabla1[[#This Row],[Código_Actividad]]="","",CONCATENATE(Tabla1[[#This Row],[POA]],".",Tabla1[[#This Row],[SRS]],".",Tabla1[[#This Row],[AREA]],".",Tabla1[[#This Row],[TIPO]]))</f>
        <v/>
      </c>
      <c r="C148" s="14"/>
      <c r="D148" s="14"/>
      <c r="E148" s="14"/>
      <c r="F148" s="14"/>
      <c r="G148" s="265"/>
      <c r="H148" s="266" t="s">
        <v>537</v>
      </c>
      <c r="I148" s="266" t="s">
        <v>526</v>
      </c>
      <c r="J148" s="265">
        <v>1</v>
      </c>
      <c r="K148" s="268">
        <v>180</v>
      </c>
      <c r="L148" s="268">
        <f>+Tabla1[[#This Row],[Precio Unitario]]*Tabla1[[#This Row],[Cantidad de Insumos]]</f>
        <v>180</v>
      </c>
      <c r="M148" s="269" t="s">
        <v>538</v>
      </c>
      <c r="N148" s="266" t="s">
        <v>66</v>
      </c>
    </row>
    <row r="149" spans="1:43" ht="12.75" x14ac:dyDescent="0.2">
      <c r="B149" s="14" t="str">
        <f>IF(Tabla1[[#This Row],[Código_Actividad]]="","",CONCATENATE(Tabla1[[#This Row],[POA]],".",Tabla1[[#This Row],[SRS]],".",Tabla1[[#This Row],[AREA]],".",Tabla1[[#This Row],[TIPO]]))</f>
        <v/>
      </c>
      <c r="C149" s="14"/>
      <c r="D149" s="14"/>
      <c r="E149" s="14"/>
      <c r="F149" s="14"/>
      <c r="G149" s="265"/>
      <c r="H149" s="266" t="s">
        <v>539</v>
      </c>
      <c r="I149" s="266" t="s">
        <v>540</v>
      </c>
      <c r="J149" s="265">
        <v>1</v>
      </c>
      <c r="K149" s="268">
        <v>120</v>
      </c>
      <c r="L149" s="268">
        <f>+Tabla1[[#This Row],[Precio Unitario]]*Tabla1[[#This Row],[Cantidad de Insumos]]</f>
        <v>120</v>
      </c>
      <c r="M149" s="269" t="s">
        <v>529</v>
      </c>
      <c r="N149" s="266" t="s">
        <v>66</v>
      </c>
    </row>
    <row r="150" spans="1:43" ht="12.75" x14ac:dyDescent="0.2">
      <c r="B150" s="14" t="str">
        <f>IF(Tabla1[[#This Row],[Código_Actividad]]="","",CONCATENATE(Tabla1[[#This Row],[POA]],".",Tabla1[[#This Row],[SRS]],".",Tabla1[[#This Row],[AREA]],".",Tabla1[[#This Row],[TIPO]]))</f>
        <v/>
      </c>
      <c r="C150" s="14"/>
      <c r="D150" s="14"/>
      <c r="E150" s="14"/>
      <c r="F150" s="14"/>
      <c r="G150" s="265"/>
      <c r="H150" s="266" t="s">
        <v>541</v>
      </c>
      <c r="I150" s="266" t="s">
        <v>526</v>
      </c>
      <c r="J150" s="265">
        <v>1</v>
      </c>
      <c r="K150" s="268">
        <v>4500</v>
      </c>
      <c r="L150" s="268">
        <f>+Tabla1[[#This Row],[Precio Unitario]]*Tabla1[[#This Row],[Cantidad de Insumos]]</f>
        <v>4500</v>
      </c>
      <c r="M150" s="269" t="s">
        <v>542</v>
      </c>
      <c r="N150" s="266" t="s">
        <v>66</v>
      </c>
    </row>
    <row r="151" spans="1:43" ht="12.75" x14ac:dyDescent="0.2">
      <c r="B151" s="14" t="str">
        <f>IF(Tabla1[[#This Row],[Código_Actividad]]="","",CONCATENATE(Tabla1[[#This Row],[POA]],".",Tabla1[[#This Row],[SRS]],".",Tabla1[[#This Row],[AREA]],".",Tabla1[[#This Row],[TIPO]]))</f>
        <v/>
      </c>
      <c r="C151" s="14"/>
      <c r="D151" s="14"/>
      <c r="E151" s="14"/>
      <c r="F151" s="14"/>
      <c r="G151" s="265"/>
      <c r="H151" s="266" t="s">
        <v>530</v>
      </c>
      <c r="I151" s="405" t="s">
        <v>526</v>
      </c>
      <c r="J151" s="265">
        <v>4</v>
      </c>
      <c r="K151" s="268">
        <v>30</v>
      </c>
      <c r="L151" s="268">
        <f>+Tabla1[[#This Row],[Precio Unitario]]*Tabla1[[#This Row],[Cantidad de Insumos]]</f>
        <v>120</v>
      </c>
      <c r="M151" s="269" t="s">
        <v>529</v>
      </c>
      <c r="N151" s="266" t="s">
        <v>66</v>
      </c>
    </row>
    <row r="152" spans="1:43" ht="12.75" x14ac:dyDescent="0.2">
      <c r="B152" s="14" t="str">
        <f>IF(Tabla1[[#This Row],[Código_Actividad]]="","",CONCATENATE(Tabla1[[#This Row],[POA]],".",Tabla1[[#This Row],[SRS]],".",Tabla1[[#This Row],[AREA]],".",Tabla1[[#This Row],[TIPO]]))</f>
        <v/>
      </c>
      <c r="C152" s="14"/>
      <c r="D152" s="14"/>
      <c r="E152" s="14"/>
      <c r="F152" s="14"/>
      <c r="G152" s="265"/>
      <c r="H152" s="266" t="s">
        <v>531</v>
      </c>
      <c r="I152" s="405" t="s">
        <v>532</v>
      </c>
      <c r="J152" s="265">
        <v>1</v>
      </c>
      <c r="K152" s="268">
        <v>150</v>
      </c>
      <c r="L152" s="268">
        <f>+Tabla1[[#This Row],[Precio Unitario]]*Tabla1[[#This Row],[Cantidad de Insumos]]</f>
        <v>150</v>
      </c>
      <c r="M152" s="269" t="s">
        <v>533</v>
      </c>
      <c r="N152" s="266" t="s">
        <v>66</v>
      </c>
    </row>
    <row r="153" spans="1:43" ht="12.75" x14ac:dyDescent="0.2">
      <c r="B153" s="14" t="str">
        <f>IF(Tabla1[[#This Row],[Código_Actividad]]="","",CONCATENATE(Tabla1[[#This Row],[POA]],".",Tabla1[[#This Row],[SRS]],".",Tabla1[[#This Row],[AREA]],".",Tabla1[[#This Row],[TIPO]]))</f>
        <v/>
      </c>
      <c r="C153" s="14"/>
      <c r="D153" s="14"/>
      <c r="E153" s="14"/>
      <c r="F153" s="14"/>
      <c r="G153" s="265"/>
      <c r="H153" s="266" t="s">
        <v>543</v>
      </c>
      <c r="I153" s="266" t="s">
        <v>540</v>
      </c>
      <c r="J153" s="265">
        <v>1</v>
      </c>
      <c r="K153" s="268">
        <v>600</v>
      </c>
      <c r="L153" s="268">
        <f>+Tabla1[[#This Row],[Precio Unitario]]*Tabla1[[#This Row],[Cantidad de Insumos]]</f>
        <v>600</v>
      </c>
      <c r="M153" s="269" t="s">
        <v>529</v>
      </c>
      <c r="N153" s="266" t="s">
        <v>66</v>
      </c>
    </row>
    <row r="154" spans="1:43" ht="12.75" x14ac:dyDescent="0.2">
      <c r="B154" s="14" t="str">
        <f>IF(Tabla1[[#This Row],[Código_Actividad]]="","",CONCATENATE(Tabla1[[#This Row],[POA]],".",Tabla1[[#This Row],[SRS]],".",Tabla1[[#This Row],[AREA]],".",Tabla1[[#This Row],[TIPO]]))</f>
        <v/>
      </c>
      <c r="C154" s="14"/>
      <c r="D154" s="14"/>
      <c r="E154" s="14"/>
      <c r="F154" s="14"/>
      <c r="G154" s="265"/>
      <c r="H154" s="266" t="s">
        <v>544</v>
      </c>
      <c r="I154" s="266" t="s">
        <v>540</v>
      </c>
      <c r="J154" s="265">
        <v>1</v>
      </c>
      <c r="K154" s="268">
        <v>1200</v>
      </c>
      <c r="L154" s="268">
        <f>+Tabla1[[#This Row],[Precio Unitario]]*Tabla1[[#This Row],[Cantidad de Insumos]]</f>
        <v>1200</v>
      </c>
      <c r="M154" s="269" t="s">
        <v>545</v>
      </c>
      <c r="N154" s="266" t="s">
        <v>66</v>
      </c>
    </row>
    <row r="155" spans="1:43" ht="12.75" x14ac:dyDescent="0.2">
      <c r="B155" s="14" t="str">
        <f>IF(Tabla1[[#This Row],[Código_Actividad]]="","",CONCATENATE(Tabla1[[#This Row],[POA]],".",Tabla1[[#This Row],[SRS]],".",Tabla1[[#This Row],[AREA]],".",Tabla1[[#This Row],[TIPO]]))</f>
        <v/>
      </c>
      <c r="C155" s="14"/>
      <c r="D155" s="14"/>
      <c r="E155" s="14"/>
      <c r="F155" s="14"/>
      <c r="G155" s="265"/>
      <c r="H155" s="266" t="s">
        <v>546</v>
      </c>
      <c r="I155" s="266" t="s">
        <v>526</v>
      </c>
      <c r="J155" s="265">
        <v>1</v>
      </c>
      <c r="K155" s="268">
        <v>100</v>
      </c>
      <c r="L155" s="268">
        <f>+Tabla1[[#This Row],[Precio Unitario]]*Tabla1[[#This Row],[Cantidad de Insumos]]</f>
        <v>100</v>
      </c>
      <c r="M155" s="269" t="s">
        <v>529</v>
      </c>
      <c r="N155" s="266" t="s">
        <v>508</v>
      </c>
    </row>
    <row r="156" spans="1:43" s="407" customFormat="1" ht="12.75" x14ac:dyDescent="0.2">
      <c r="A156" s="406"/>
      <c r="B156" s="14" t="str">
        <f>IF(Tabla1[[#This Row],[Código_Actividad]]="","",CONCATENATE(Tabla1[[#This Row],[POA]],".",Tabla1[[#This Row],[SRS]],".",Tabla1[[#This Row],[AREA]],".",Tabla1[[#This Row],[TIPO]]))</f>
        <v>...</v>
      </c>
      <c r="C156" s="14" t="s">
        <v>523</v>
      </c>
      <c r="D156" s="14" t="s">
        <v>523</v>
      </c>
      <c r="E156" s="14" t="s">
        <v>523</v>
      </c>
      <c r="F156" s="14" t="s">
        <v>523</v>
      </c>
      <c r="G156" s="265" t="s">
        <v>212</v>
      </c>
      <c r="H156" s="266" t="s">
        <v>525</v>
      </c>
      <c r="I156" s="266" t="s">
        <v>526</v>
      </c>
      <c r="J156" s="265">
        <v>1</v>
      </c>
      <c r="K156" s="267">
        <v>35000</v>
      </c>
      <c r="L156" s="268">
        <f>+Tabla1[[#This Row],[Precio Unitario]]*Tabla1[[#This Row],[Cantidad de Insumos]]</f>
        <v>35000</v>
      </c>
      <c r="M156" s="269" t="s">
        <v>527</v>
      </c>
      <c r="N156" s="266" t="s">
        <v>508</v>
      </c>
      <c r="O156" s="406"/>
      <c r="P156" s="406"/>
      <c r="Q156" s="406"/>
      <c r="R156" s="406"/>
      <c r="S156" s="406"/>
      <c r="T156" s="406"/>
      <c r="U156" s="406"/>
      <c r="V156" s="406"/>
      <c r="W156" s="406"/>
      <c r="X156" s="406"/>
      <c r="Y156" s="406"/>
      <c r="Z156" s="406"/>
      <c r="AA156" s="406"/>
      <c r="AB156" s="406"/>
      <c r="AC156" s="406"/>
      <c r="AD156" s="406"/>
      <c r="AE156" s="406"/>
      <c r="AF156" s="406"/>
      <c r="AG156" s="406"/>
      <c r="AH156" s="406"/>
      <c r="AI156" s="406"/>
      <c r="AJ156" s="406"/>
      <c r="AK156" s="406"/>
      <c r="AL156" s="406"/>
      <c r="AM156" s="406"/>
      <c r="AN156" s="406"/>
      <c r="AO156" s="406"/>
      <c r="AP156" s="406"/>
      <c r="AQ156" s="406"/>
    </row>
    <row r="157" spans="1:43" s="407" customFormat="1" ht="12.75" x14ac:dyDescent="0.2">
      <c r="A157" s="406"/>
      <c r="B157" s="14" t="str">
        <f>IF(Tabla1[[#This Row],[Código_Actividad]]="","",CONCATENATE(Tabla1[[#This Row],[POA]],".",Tabla1[[#This Row],[SRS]],".",Tabla1[[#This Row],[AREA]],".",Tabla1[[#This Row],[TIPO]]))</f>
        <v/>
      </c>
      <c r="C157" s="14" t="s">
        <v>523</v>
      </c>
      <c r="D157" s="14" t="s">
        <v>523</v>
      </c>
      <c r="E157" s="14" t="s">
        <v>523</v>
      </c>
      <c r="F157" s="14" t="s">
        <v>523</v>
      </c>
      <c r="G157" s="265"/>
      <c r="H157" s="266" t="s">
        <v>547</v>
      </c>
      <c r="I157" s="266" t="s">
        <v>526</v>
      </c>
      <c r="J157" s="265">
        <v>1</v>
      </c>
      <c r="K157" s="268">
        <v>60000</v>
      </c>
      <c r="L157" s="268">
        <f>+Tabla1[[#This Row],[Precio Unitario]]*Tabla1[[#This Row],[Cantidad de Insumos]]</f>
        <v>60000</v>
      </c>
      <c r="M157" s="269" t="s">
        <v>527</v>
      </c>
      <c r="N157" s="266" t="s">
        <v>508</v>
      </c>
      <c r="O157" s="406"/>
      <c r="P157" s="406"/>
      <c r="Q157" s="406"/>
      <c r="R157" s="406"/>
      <c r="S157" s="406"/>
      <c r="T157" s="406"/>
      <c r="U157" s="406"/>
      <c r="V157" s="406"/>
      <c r="W157" s="406"/>
      <c r="X157" s="406"/>
      <c r="Y157" s="406"/>
      <c r="Z157" s="406"/>
      <c r="AA157" s="406"/>
      <c r="AB157" s="406"/>
      <c r="AC157" s="406"/>
      <c r="AD157" s="406"/>
      <c r="AE157" s="406"/>
      <c r="AF157" s="406"/>
      <c r="AG157" s="406"/>
      <c r="AH157" s="406"/>
      <c r="AI157" s="406"/>
      <c r="AJ157" s="406"/>
      <c r="AK157" s="406"/>
      <c r="AL157" s="406"/>
      <c r="AM157" s="406"/>
      <c r="AN157" s="406"/>
      <c r="AO157" s="406"/>
      <c r="AP157" s="406"/>
      <c r="AQ157" s="406"/>
    </row>
    <row r="158" spans="1:43" s="407" customFormat="1" ht="12.75" x14ac:dyDescent="0.2">
      <c r="A158" s="406"/>
      <c r="B158" s="14" t="str">
        <f>IF(Tabla1[[#This Row],[Código_Actividad]]="","",CONCATENATE(Tabla1[[#This Row],[POA]],".",Tabla1[[#This Row],[SRS]],".",Tabla1[[#This Row],[AREA]],".",Tabla1[[#This Row],[TIPO]]))</f>
        <v/>
      </c>
      <c r="C158" s="14" t="s">
        <v>523</v>
      </c>
      <c r="D158" s="14" t="s">
        <v>523</v>
      </c>
      <c r="E158" s="14" t="s">
        <v>523</v>
      </c>
      <c r="F158" s="14" t="s">
        <v>523</v>
      </c>
      <c r="G158" s="265"/>
      <c r="H158" s="266" t="s">
        <v>534</v>
      </c>
      <c r="I158" s="266" t="s">
        <v>526</v>
      </c>
      <c r="J158" s="265">
        <v>1</v>
      </c>
      <c r="K158" s="268">
        <v>1400</v>
      </c>
      <c r="L158" s="268">
        <f>+Tabla1[[#This Row],[Precio Unitario]]*Tabla1[[#This Row],[Cantidad de Insumos]]</f>
        <v>1400</v>
      </c>
      <c r="M158" s="269" t="s">
        <v>529</v>
      </c>
      <c r="N158" s="266" t="s">
        <v>66</v>
      </c>
      <c r="O158" s="406"/>
      <c r="P158" s="406"/>
      <c r="Q158" s="406"/>
      <c r="R158" s="406"/>
      <c r="S158" s="406"/>
      <c r="T158" s="406"/>
      <c r="U158" s="406"/>
      <c r="V158" s="406"/>
      <c r="W158" s="406"/>
      <c r="X158" s="406"/>
      <c r="Y158" s="406"/>
      <c r="Z158" s="406"/>
      <c r="AA158" s="406"/>
      <c r="AB158" s="406"/>
      <c r="AC158" s="406"/>
      <c r="AD158" s="406"/>
      <c r="AE158" s="406"/>
      <c r="AF158" s="406"/>
      <c r="AG158" s="406"/>
      <c r="AH158" s="406"/>
      <c r="AI158" s="406"/>
      <c r="AJ158" s="406"/>
      <c r="AK158" s="406"/>
      <c r="AL158" s="406"/>
      <c r="AM158" s="406"/>
      <c r="AN158" s="406"/>
      <c r="AO158" s="406"/>
      <c r="AP158" s="406"/>
      <c r="AQ158" s="406"/>
    </row>
    <row r="159" spans="1:43" s="407" customFormat="1" ht="12.75" x14ac:dyDescent="0.2">
      <c r="A159" s="406"/>
      <c r="B159" s="14" t="str">
        <f>IF(Tabla1[[#This Row],[Código_Actividad]]="","",CONCATENATE(Tabla1[[#This Row],[POA]],".",Tabla1[[#This Row],[SRS]],".",Tabla1[[#This Row],[AREA]],".",Tabla1[[#This Row],[TIPO]]))</f>
        <v/>
      </c>
      <c r="C159" s="14" t="s">
        <v>523</v>
      </c>
      <c r="D159" s="14" t="s">
        <v>523</v>
      </c>
      <c r="E159" s="14" t="s">
        <v>523</v>
      </c>
      <c r="F159" s="14" t="s">
        <v>523</v>
      </c>
      <c r="G159" s="265"/>
      <c r="H159" s="266" t="s">
        <v>535</v>
      </c>
      <c r="I159" s="266" t="s">
        <v>536</v>
      </c>
      <c r="J159" s="265">
        <v>1</v>
      </c>
      <c r="K159" s="268">
        <v>500</v>
      </c>
      <c r="L159" s="268">
        <f>+Tabla1[[#This Row],[Precio Unitario]]*Tabla1[[#This Row],[Cantidad de Insumos]]</f>
        <v>500</v>
      </c>
      <c r="M159" s="269" t="s">
        <v>533</v>
      </c>
      <c r="N159" s="266" t="s">
        <v>66</v>
      </c>
      <c r="O159" s="406"/>
      <c r="P159" s="406"/>
      <c r="Q159" s="406"/>
      <c r="R159" s="406"/>
      <c r="S159" s="406"/>
      <c r="T159" s="406"/>
      <c r="U159" s="406"/>
      <c r="V159" s="406"/>
      <c r="W159" s="406"/>
      <c r="X159" s="406"/>
      <c r="Y159" s="406"/>
      <c r="Z159" s="406"/>
      <c r="AA159" s="406"/>
      <c r="AB159" s="406"/>
      <c r="AC159" s="406"/>
      <c r="AD159" s="406"/>
      <c r="AE159" s="406"/>
      <c r="AF159" s="406"/>
      <c r="AG159" s="406"/>
      <c r="AH159" s="406"/>
      <c r="AI159" s="406"/>
      <c r="AJ159" s="406"/>
      <c r="AK159" s="406"/>
      <c r="AL159" s="406"/>
      <c r="AM159" s="406"/>
      <c r="AN159" s="406"/>
      <c r="AO159" s="406"/>
      <c r="AP159" s="406"/>
      <c r="AQ159" s="406"/>
    </row>
    <row r="160" spans="1:43" s="407" customFormat="1" ht="12.75" x14ac:dyDescent="0.2">
      <c r="A160" s="406"/>
      <c r="B160" s="14" t="str">
        <f>IF(Tabla1[[#This Row],[Código_Actividad]]="","",CONCATENATE(Tabla1[[#This Row],[POA]],".",Tabla1[[#This Row],[SRS]],".",Tabla1[[#This Row],[AREA]],".",Tabla1[[#This Row],[TIPO]]))</f>
        <v/>
      </c>
      <c r="C160" s="14" t="s">
        <v>523</v>
      </c>
      <c r="D160" s="14" t="s">
        <v>523</v>
      </c>
      <c r="E160" s="14" t="s">
        <v>523</v>
      </c>
      <c r="F160" s="14" t="s">
        <v>523</v>
      </c>
      <c r="G160" s="265"/>
      <c r="H160" s="266" t="s">
        <v>537</v>
      </c>
      <c r="I160" s="266" t="s">
        <v>526</v>
      </c>
      <c r="J160" s="265">
        <v>1</v>
      </c>
      <c r="K160" s="268">
        <v>180</v>
      </c>
      <c r="L160" s="268">
        <f>+Tabla1[[#This Row],[Precio Unitario]]*Tabla1[[#This Row],[Cantidad de Insumos]]</f>
        <v>180</v>
      </c>
      <c r="M160" s="269" t="s">
        <v>538</v>
      </c>
      <c r="N160" s="266" t="s">
        <v>66</v>
      </c>
      <c r="O160" s="406"/>
      <c r="P160" s="406"/>
      <c r="Q160" s="406"/>
      <c r="R160" s="406"/>
      <c r="S160" s="406"/>
      <c r="T160" s="406"/>
      <c r="U160" s="406"/>
      <c r="V160" s="406"/>
      <c r="W160" s="406"/>
      <c r="X160" s="406"/>
      <c r="Y160" s="406"/>
      <c r="Z160" s="406"/>
      <c r="AA160" s="406"/>
      <c r="AB160" s="406"/>
      <c r="AC160" s="406"/>
      <c r="AD160" s="406"/>
      <c r="AE160" s="406"/>
      <c r="AF160" s="406"/>
      <c r="AG160" s="406"/>
      <c r="AH160" s="406"/>
      <c r="AI160" s="406"/>
      <c r="AJ160" s="406"/>
      <c r="AK160" s="406"/>
      <c r="AL160" s="406"/>
      <c r="AM160" s="406"/>
      <c r="AN160" s="406"/>
      <c r="AO160" s="406"/>
      <c r="AP160" s="406"/>
      <c r="AQ160" s="406"/>
    </row>
    <row r="161" spans="1:43" s="407" customFormat="1" ht="12.75" x14ac:dyDescent="0.2">
      <c r="A161" s="406"/>
      <c r="B161" s="14" t="str">
        <f>IF(Tabla1[[#This Row],[Código_Actividad]]="","",CONCATENATE(Tabla1[[#This Row],[POA]],".",Tabla1[[#This Row],[SRS]],".",Tabla1[[#This Row],[AREA]],".",Tabla1[[#This Row],[TIPO]]))</f>
        <v/>
      </c>
      <c r="C161" s="14" t="s">
        <v>523</v>
      </c>
      <c r="D161" s="14" t="s">
        <v>523</v>
      </c>
      <c r="E161" s="14" t="s">
        <v>523</v>
      </c>
      <c r="F161" s="14" t="s">
        <v>523</v>
      </c>
      <c r="G161" s="265"/>
      <c r="H161" s="266" t="s">
        <v>539</v>
      </c>
      <c r="I161" s="266" t="s">
        <v>540</v>
      </c>
      <c r="J161" s="265">
        <v>1</v>
      </c>
      <c r="K161" s="268">
        <v>120</v>
      </c>
      <c r="L161" s="268">
        <f>+Tabla1[[#This Row],[Precio Unitario]]*Tabla1[[#This Row],[Cantidad de Insumos]]</f>
        <v>120</v>
      </c>
      <c r="M161" s="269" t="s">
        <v>529</v>
      </c>
      <c r="N161" s="266" t="s">
        <v>66</v>
      </c>
      <c r="O161" s="406"/>
      <c r="P161" s="406"/>
      <c r="Q161" s="406"/>
      <c r="R161" s="406"/>
      <c r="S161" s="406"/>
      <c r="T161" s="406"/>
      <c r="U161" s="406"/>
      <c r="V161" s="406"/>
      <c r="W161" s="406"/>
      <c r="X161" s="406"/>
      <c r="Y161" s="406"/>
      <c r="Z161" s="406"/>
      <c r="AA161" s="406"/>
      <c r="AB161" s="406"/>
      <c r="AC161" s="406"/>
      <c r="AD161" s="406"/>
      <c r="AE161" s="406"/>
      <c r="AF161" s="406"/>
      <c r="AG161" s="406"/>
      <c r="AH161" s="406"/>
      <c r="AI161" s="406"/>
      <c r="AJ161" s="406"/>
      <c r="AK161" s="406"/>
      <c r="AL161" s="406"/>
      <c r="AM161" s="406"/>
      <c r="AN161" s="406"/>
      <c r="AO161" s="406"/>
      <c r="AP161" s="406"/>
      <c r="AQ161" s="406"/>
    </row>
    <row r="162" spans="1:43" s="407" customFormat="1" ht="12.75" x14ac:dyDescent="0.2">
      <c r="A162" s="406"/>
      <c r="B162" s="14" t="str">
        <f>IF(Tabla1[[#This Row],[Código_Actividad]]="","",CONCATENATE(Tabla1[[#This Row],[POA]],".",Tabla1[[#This Row],[SRS]],".",Tabla1[[#This Row],[AREA]],".",Tabla1[[#This Row],[TIPO]]))</f>
        <v/>
      </c>
      <c r="C162" s="14" t="s">
        <v>523</v>
      </c>
      <c r="D162" s="14" t="s">
        <v>523</v>
      </c>
      <c r="E162" s="14" t="s">
        <v>523</v>
      </c>
      <c r="F162" s="14" t="s">
        <v>523</v>
      </c>
      <c r="G162" s="265"/>
      <c r="H162" s="266" t="s">
        <v>541</v>
      </c>
      <c r="I162" s="266" t="s">
        <v>526</v>
      </c>
      <c r="J162" s="265">
        <v>1</v>
      </c>
      <c r="K162" s="268">
        <v>4500</v>
      </c>
      <c r="L162" s="268">
        <f>+Tabla1[[#This Row],[Precio Unitario]]*Tabla1[[#This Row],[Cantidad de Insumos]]</f>
        <v>4500</v>
      </c>
      <c r="M162" s="269" t="s">
        <v>542</v>
      </c>
      <c r="N162" s="266" t="s">
        <v>66</v>
      </c>
      <c r="O162" s="406"/>
      <c r="P162" s="406"/>
      <c r="Q162" s="406"/>
      <c r="R162" s="406"/>
      <c r="S162" s="406"/>
      <c r="T162" s="406"/>
      <c r="U162" s="406"/>
      <c r="V162" s="406"/>
      <c r="W162" s="406"/>
      <c r="X162" s="406"/>
      <c r="Y162" s="406"/>
      <c r="Z162" s="406"/>
      <c r="AA162" s="406"/>
      <c r="AB162" s="406"/>
      <c r="AC162" s="406"/>
      <c r="AD162" s="406"/>
      <c r="AE162" s="406"/>
      <c r="AF162" s="406"/>
      <c r="AG162" s="406"/>
      <c r="AH162" s="406"/>
      <c r="AI162" s="406"/>
      <c r="AJ162" s="406"/>
      <c r="AK162" s="406"/>
      <c r="AL162" s="406"/>
      <c r="AM162" s="406"/>
      <c r="AN162" s="406"/>
      <c r="AO162" s="406"/>
      <c r="AP162" s="406"/>
      <c r="AQ162" s="406"/>
    </row>
    <row r="163" spans="1:43" s="407" customFormat="1" ht="12.75" x14ac:dyDescent="0.2">
      <c r="A163" s="406"/>
      <c r="B163" s="14" t="str">
        <f>IF(Tabla1[[#This Row],[Código_Actividad]]="","",CONCATENATE(Tabla1[[#This Row],[POA]],".",Tabla1[[#This Row],[SRS]],".",Tabla1[[#This Row],[AREA]],".",Tabla1[[#This Row],[TIPO]]))</f>
        <v/>
      </c>
      <c r="C163" s="14" t="s">
        <v>523</v>
      </c>
      <c r="D163" s="14" t="s">
        <v>523</v>
      </c>
      <c r="E163" s="14" t="s">
        <v>523</v>
      </c>
      <c r="F163" s="14" t="s">
        <v>523</v>
      </c>
      <c r="G163" s="265"/>
      <c r="H163" s="266" t="s">
        <v>543</v>
      </c>
      <c r="I163" s="266" t="s">
        <v>540</v>
      </c>
      <c r="J163" s="265">
        <v>1</v>
      </c>
      <c r="K163" s="268">
        <v>600</v>
      </c>
      <c r="L163" s="268">
        <f>+Tabla1[[#This Row],[Precio Unitario]]*Tabla1[[#This Row],[Cantidad de Insumos]]</f>
        <v>600</v>
      </c>
      <c r="M163" s="269" t="s">
        <v>529</v>
      </c>
      <c r="N163" s="266" t="s">
        <v>66</v>
      </c>
      <c r="O163" s="406"/>
      <c r="P163" s="406"/>
      <c r="Q163" s="406"/>
      <c r="R163" s="406"/>
      <c r="S163" s="406"/>
      <c r="T163" s="406"/>
      <c r="U163" s="406"/>
      <c r="V163" s="406"/>
      <c r="W163" s="406"/>
      <c r="X163" s="406"/>
      <c r="Y163" s="406"/>
      <c r="Z163" s="406"/>
      <c r="AA163" s="406"/>
      <c r="AB163" s="406"/>
      <c r="AC163" s="406"/>
      <c r="AD163" s="406"/>
      <c r="AE163" s="406"/>
      <c r="AF163" s="406"/>
      <c r="AG163" s="406"/>
      <c r="AH163" s="406"/>
      <c r="AI163" s="406"/>
      <c r="AJ163" s="406"/>
      <c r="AK163" s="406"/>
      <c r="AL163" s="406"/>
      <c r="AM163" s="406"/>
      <c r="AN163" s="406"/>
      <c r="AO163" s="406"/>
      <c r="AP163" s="406"/>
      <c r="AQ163" s="406"/>
    </row>
    <row r="164" spans="1:43" s="407" customFormat="1" ht="12.75" x14ac:dyDescent="0.2">
      <c r="A164" s="406"/>
      <c r="B164" s="14" t="str">
        <f>IF(Tabla1[[#This Row],[Código_Actividad]]="","",CONCATENATE(Tabla1[[#This Row],[POA]],".",Tabla1[[#This Row],[SRS]],".",Tabla1[[#This Row],[AREA]],".",Tabla1[[#This Row],[TIPO]]))</f>
        <v/>
      </c>
      <c r="C164" s="14" t="s">
        <v>523</v>
      </c>
      <c r="D164" s="14" t="s">
        <v>523</v>
      </c>
      <c r="E164" s="14" t="s">
        <v>523</v>
      </c>
      <c r="F164" s="14" t="s">
        <v>523</v>
      </c>
      <c r="G164" s="265"/>
      <c r="H164" s="266" t="s">
        <v>544</v>
      </c>
      <c r="I164" s="266" t="s">
        <v>540</v>
      </c>
      <c r="J164" s="265">
        <v>1</v>
      </c>
      <c r="K164" s="268">
        <v>1200</v>
      </c>
      <c r="L164" s="268">
        <f>+Tabla1[[#This Row],[Precio Unitario]]*Tabla1[[#This Row],[Cantidad de Insumos]]</f>
        <v>1200</v>
      </c>
      <c r="M164" s="269" t="s">
        <v>545</v>
      </c>
      <c r="N164" s="266" t="s">
        <v>66</v>
      </c>
      <c r="O164" s="406"/>
      <c r="P164" s="406"/>
      <c r="Q164" s="406"/>
      <c r="R164" s="406"/>
      <c r="S164" s="406"/>
      <c r="T164" s="406"/>
      <c r="U164" s="406"/>
      <c r="V164" s="406"/>
      <c r="W164" s="406"/>
      <c r="X164" s="406"/>
      <c r="Y164" s="406"/>
      <c r="Z164" s="406"/>
      <c r="AA164" s="406"/>
      <c r="AB164" s="406"/>
      <c r="AC164" s="406"/>
      <c r="AD164" s="406"/>
      <c r="AE164" s="406"/>
      <c r="AF164" s="406"/>
      <c r="AG164" s="406"/>
      <c r="AH164" s="406"/>
      <c r="AI164" s="406"/>
      <c r="AJ164" s="406"/>
      <c r="AK164" s="406"/>
      <c r="AL164" s="406"/>
      <c r="AM164" s="406"/>
      <c r="AN164" s="406"/>
      <c r="AO164" s="406"/>
      <c r="AP164" s="406"/>
      <c r="AQ164" s="406"/>
    </row>
    <row r="165" spans="1:43" s="407" customFormat="1" ht="12.75" x14ac:dyDescent="0.2">
      <c r="A165" s="406"/>
      <c r="B165" s="14" t="str">
        <f>IF(Tabla1[[#This Row],[Código_Actividad]]="","",CONCATENATE(Tabla1[[#This Row],[POA]],".",Tabla1[[#This Row],[SRS]],".",Tabla1[[#This Row],[AREA]],".",Tabla1[[#This Row],[TIPO]]))</f>
        <v/>
      </c>
      <c r="C165" s="14" t="s">
        <v>523</v>
      </c>
      <c r="D165" s="14" t="s">
        <v>523</v>
      </c>
      <c r="E165" s="14" t="s">
        <v>523</v>
      </c>
      <c r="F165" s="14" t="s">
        <v>523</v>
      </c>
      <c r="G165" s="265"/>
      <c r="H165" s="266" t="s">
        <v>546</v>
      </c>
      <c r="I165" s="266" t="s">
        <v>526</v>
      </c>
      <c r="J165" s="265">
        <v>1</v>
      </c>
      <c r="K165" s="268">
        <v>100</v>
      </c>
      <c r="L165" s="268">
        <f>+Tabla1[[#This Row],[Precio Unitario]]*Tabla1[[#This Row],[Cantidad de Insumos]]</f>
        <v>100</v>
      </c>
      <c r="M165" s="269" t="s">
        <v>529</v>
      </c>
      <c r="N165" s="266" t="s">
        <v>508</v>
      </c>
      <c r="O165" s="406"/>
      <c r="P165" s="406"/>
      <c r="Q165" s="406"/>
      <c r="R165" s="406"/>
      <c r="S165" s="406"/>
      <c r="T165" s="406"/>
      <c r="U165" s="406"/>
      <c r="V165" s="406"/>
      <c r="W165" s="406"/>
      <c r="X165" s="406"/>
      <c r="Y165" s="406"/>
      <c r="Z165" s="406"/>
      <c r="AA165" s="406"/>
      <c r="AB165" s="406"/>
      <c r="AC165" s="406"/>
      <c r="AD165" s="406"/>
      <c r="AE165" s="406"/>
      <c r="AF165" s="406"/>
      <c r="AG165" s="406"/>
      <c r="AH165" s="406"/>
      <c r="AI165" s="406"/>
      <c r="AJ165" s="406"/>
      <c r="AK165" s="406"/>
      <c r="AL165" s="406"/>
      <c r="AM165" s="406"/>
      <c r="AN165" s="406"/>
      <c r="AO165" s="406"/>
      <c r="AP165" s="406"/>
      <c r="AQ165" s="406"/>
    </row>
    <row r="166" spans="1:43" s="407" customFormat="1" ht="12.75" x14ac:dyDescent="0.2">
      <c r="A166" s="406"/>
      <c r="B166" s="14" t="str">
        <f>IF(Tabla1[[#This Row],[Código_Actividad]]="","",CONCATENATE(Tabla1[[#This Row],[POA]],".",Tabla1[[#This Row],[SRS]],".",Tabla1[[#This Row],[AREA]],".",Tabla1[[#This Row],[TIPO]]))</f>
        <v>...</v>
      </c>
      <c r="C166" s="14" t="s">
        <v>523</v>
      </c>
      <c r="D166" s="14" t="s">
        <v>523</v>
      </c>
      <c r="E166" s="14" t="s">
        <v>523</v>
      </c>
      <c r="F166" s="14" t="s">
        <v>523</v>
      </c>
      <c r="G166" s="265" t="s">
        <v>217</v>
      </c>
      <c r="H166" s="266" t="s">
        <v>525</v>
      </c>
      <c r="I166" s="266" t="s">
        <v>526</v>
      </c>
      <c r="J166" s="265">
        <v>1</v>
      </c>
      <c r="K166" s="267">
        <v>35000</v>
      </c>
      <c r="L166" s="268">
        <f>+Tabla1[[#This Row],[Precio Unitario]]*Tabla1[[#This Row],[Cantidad de Insumos]]</f>
        <v>35000</v>
      </c>
      <c r="M166" s="269" t="s">
        <v>527</v>
      </c>
      <c r="N166" s="266" t="s">
        <v>508</v>
      </c>
      <c r="O166" s="406"/>
      <c r="P166" s="406"/>
      <c r="Q166" s="406"/>
      <c r="R166" s="406"/>
      <c r="S166" s="406"/>
      <c r="T166" s="406"/>
      <c r="U166" s="406"/>
      <c r="V166" s="406"/>
      <c r="W166" s="406"/>
      <c r="X166" s="406"/>
      <c r="Y166" s="406"/>
      <c r="Z166" s="406"/>
      <c r="AA166" s="406"/>
      <c r="AB166" s="406"/>
      <c r="AC166" s="406"/>
      <c r="AD166" s="406"/>
      <c r="AE166" s="406"/>
      <c r="AF166" s="406"/>
      <c r="AG166" s="406"/>
      <c r="AH166" s="406"/>
      <c r="AI166" s="406"/>
      <c r="AJ166" s="406"/>
      <c r="AK166" s="406"/>
      <c r="AL166" s="406"/>
      <c r="AM166" s="406"/>
      <c r="AN166" s="406"/>
      <c r="AO166" s="406"/>
      <c r="AP166" s="406"/>
      <c r="AQ166" s="406"/>
    </row>
    <row r="167" spans="1:43" s="407" customFormat="1" ht="12.75" x14ac:dyDescent="0.2">
      <c r="A167" s="406"/>
      <c r="B167" s="14" t="str">
        <f>IF(Tabla1[[#This Row],[Código_Actividad]]="","",CONCATENATE(Tabla1[[#This Row],[POA]],".",Tabla1[[#This Row],[SRS]],".",Tabla1[[#This Row],[AREA]],".",Tabla1[[#This Row],[TIPO]]))</f>
        <v/>
      </c>
      <c r="C167" s="14"/>
      <c r="D167" s="14"/>
      <c r="E167" s="14"/>
      <c r="F167" s="14"/>
      <c r="G167" s="265"/>
      <c r="H167" s="266" t="s">
        <v>534</v>
      </c>
      <c r="I167" s="266" t="s">
        <v>526</v>
      </c>
      <c r="J167" s="265">
        <v>1</v>
      </c>
      <c r="K167" s="268">
        <v>1400</v>
      </c>
      <c r="L167" s="268">
        <f>+Tabla1[[#This Row],[Precio Unitario]]*Tabla1[[#This Row],[Cantidad de Insumos]]</f>
        <v>1400</v>
      </c>
      <c r="M167" s="269" t="s">
        <v>529</v>
      </c>
      <c r="N167" s="266" t="s">
        <v>66</v>
      </c>
      <c r="O167" s="406"/>
      <c r="P167" s="406"/>
      <c r="Q167" s="406"/>
      <c r="R167" s="406"/>
      <c r="S167" s="406"/>
      <c r="T167" s="406"/>
      <c r="U167" s="406"/>
      <c r="V167" s="406"/>
      <c r="W167" s="406"/>
      <c r="X167" s="406"/>
      <c r="Y167" s="406"/>
      <c r="Z167" s="406"/>
      <c r="AA167" s="406"/>
      <c r="AB167" s="406"/>
      <c r="AC167" s="406"/>
      <c r="AD167" s="406"/>
      <c r="AE167" s="406"/>
      <c r="AF167" s="406"/>
      <c r="AG167" s="406"/>
      <c r="AH167" s="406"/>
      <c r="AI167" s="406"/>
      <c r="AJ167" s="406"/>
      <c r="AK167" s="406"/>
      <c r="AL167" s="406"/>
      <c r="AM167" s="406"/>
      <c r="AN167" s="406"/>
      <c r="AO167" s="406"/>
      <c r="AP167" s="406"/>
      <c r="AQ167" s="406"/>
    </row>
    <row r="168" spans="1:43" s="407" customFormat="1" ht="12.75" x14ac:dyDescent="0.2">
      <c r="A168" s="406"/>
      <c r="B168" s="14" t="str">
        <f>IF(Tabla1[[#This Row],[Código_Actividad]]="","",CONCATENATE(Tabla1[[#This Row],[POA]],".",Tabla1[[#This Row],[SRS]],".",Tabla1[[#This Row],[AREA]],".",Tabla1[[#This Row],[TIPO]]))</f>
        <v/>
      </c>
      <c r="C168" s="14"/>
      <c r="D168" s="14"/>
      <c r="E168" s="14"/>
      <c r="F168" s="14"/>
      <c r="G168" s="265"/>
      <c r="H168" s="266" t="s">
        <v>535</v>
      </c>
      <c r="I168" s="266" t="s">
        <v>536</v>
      </c>
      <c r="J168" s="265">
        <v>1</v>
      </c>
      <c r="K168" s="268">
        <v>500</v>
      </c>
      <c r="L168" s="268">
        <f>+Tabla1[[#This Row],[Precio Unitario]]*Tabla1[[#This Row],[Cantidad de Insumos]]</f>
        <v>500</v>
      </c>
      <c r="M168" s="269" t="s">
        <v>533</v>
      </c>
      <c r="N168" s="266" t="s">
        <v>66</v>
      </c>
      <c r="O168" s="406"/>
      <c r="P168" s="406"/>
      <c r="Q168" s="406"/>
      <c r="R168" s="406"/>
      <c r="S168" s="406"/>
      <c r="T168" s="406"/>
      <c r="U168" s="406"/>
      <c r="V168" s="406"/>
      <c r="W168" s="406"/>
      <c r="X168" s="406"/>
      <c r="Y168" s="406"/>
      <c r="Z168" s="406"/>
      <c r="AA168" s="406"/>
      <c r="AB168" s="406"/>
      <c r="AC168" s="406"/>
      <c r="AD168" s="406"/>
      <c r="AE168" s="406"/>
      <c r="AF168" s="406"/>
      <c r="AG168" s="406"/>
      <c r="AH168" s="406"/>
      <c r="AI168" s="406"/>
      <c r="AJ168" s="406"/>
      <c r="AK168" s="406"/>
      <c r="AL168" s="406"/>
      <c r="AM168" s="406"/>
      <c r="AN168" s="406"/>
      <c r="AO168" s="406"/>
      <c r="AP168" s="406"/>
      <c r="AQ168" s="406"/>
    </row>
    <row r="169" spans="1:43" s="407" customFormat="1" ht="12.75" x14ac:dyDescent="0.2">
      <c r="A169" s="406"/>
      <c r="B169" s="14" t="str">
        <f>IF(Tabla1[[#This Row],[Código_Actividad]]="","",CONCATENATE(Tabla1[[#This Row],[POA]],".",Tabla1[[#This Row],[SRS]],".",Tabla1[[#This Row],[AREA]],".",Tabla1[[#This Row],[TIPO]]))</f>
        <v/>
      </c>
      <c r="C169" s="14"/>
      <c r="D169" s="14"/>
      <c r="E169" s="14"/>
      <c r="F169" s="14"/>
      <c r="G169" s="265"/>
      <c r="H169" s="266" t="s">
        <v>537</v>
      </c>
      <c r="I169" s="266" t="s">
        <v>526</v>
      </c>
      <c r="J169" s="265">
        <v>1</v>
      </c>
      <c r="K169" s="268">
        <v>180</v>
      </c>
      <c r="L169" s="268">
        <f>+Tabla1[[#This Row],[Precio Unitario]]*Tabla1[[#This Row],[Cantidad de Insumos]]</f>
        <v>180</v>
      </c>
      <c r="M169" s="269" t="s">
        <v>538</v>
      </c>
      <c r="N169" s="266" t="s">
        <v>66</v>
      </c>
      <c r="O169" s="406"/>
      <c r="P169" s="406"/>
      <c r="Q169" s="406"/>
      <c r="R169" s="406"/>
      <c r="S169" s="406"/>
      <c r="T169" s="406"/>
      <c r="U169" s="406"/>
      <c r="V169" s="406"/>
      <c r="W169" s="406"/>
      <c r="X169" s="406"/>
      <c r="Y169" s="406"/>
      <c r="Z169" s="406"/>
      <c r="AA169" s="406"/>
      <c r="AB169" s="406"/>
      <c r="AC169" s="406"/>
      <c r="AD169" s="406"/>
      <c r="AE169" s="406"/>
      <c r="AF169" s="406"/>
      <c r="AG169" s="406"/>
      <c r="AH169" s="406"/>
      <c r="AI169" s="406"/>
      <c r="AJ169" s="406"/>
      <c r="AK169" s="406"/>
      <c r="AL169" s="406"/>
      <c r="AM169" s="406"/>
      <c r="AN169" s="406"/>
      <c r="AO169" s="406"/>
      <c r="AP169" s="406"/>
      <c r="AQ169" s="406"/>
    </row>
    <row r="170" spans="1:43" s="407" customFormat="1" ht="12.75" x14ac:dyDescent="0.2">
      <c r="A170" s="406"/>
      <c r="B170" s="14" t="str">
        <f>IF(Tabla1[[#This Row],[Código_Actividad]]="","",CONCATENATE(Tabla1[[#This Row],[POA]],".",Tabla1[[#This Row],[SRS]],".",Tabla1[[#This Row],[AREA]],".",Tabla1[[#This Row],[TIPO]]))</f>
        <v/>
      </c>
      <c r="C170" s="14"/>
      <c r="D170" s="14"/>
      <c r="E170" s="14"/>
      <c r="F170" s="14"/>
      <c r="G170" s="265"/>
      <c r="H170" s="266" t="s">
        <v>539</v>
      </c>
      <c r="I170" s="266" t="s">
        <v>540</v>
      </c>
      <c r="J170" s="265">
        <v>1</v>
      </c>
      <c r="K170" s="268">
        <v>120</v>
      </c>
      <c r="L170" s="268">
        <f>+Tabla1[[#This Row],[Precio Unitario]]*Tabla1[[#This Row],[Cantidad de Insumos]]</f>
        <v>120</v>
      </c>
      <c r="M170" s="269" t="s">
        <v>529</v>
      </c>
      <c r="N170" s="266" t="s">
        <v>66</v>
      </c>
      <c r="O170" s="406"/>
      <c r="P170" s="406"/>
      <c r="Q170" s="406"/>
      <c r="R170" s="406"/>
      <c r="S170" s="406"/>
      <c r="T170" s="406"/>
      <c r="U170" s="406"/>
      <c r="V170" s="406"/>
      <c r="W170" s="406"/>
      <c r="X170" s="406"/>
      <c r="Y170" s="406"/>
      <c r="Z170" s="406"/>
      <c r="AA170" s="406"/>
      <c r="AB170" s="406"/>
      <c r="AC170" s="406"/>
      <c r="AD170" s="406"/>
      <c r="AE170" s="406"/>
      <c r="AF170" s="406"/>
      <c r="AG170" s="406"/>
      <c r="AH170" s="406"/>
      <c r="AI170" s="406"/>
      <c r="AJ170" s="406"/>
      <c r="AK170" s="406"/>
      <c r="AL170" s="406"/>
      <c r="AM170" s="406"/>
      <c r="AN170" s="406"/>
      <c r="AO170" s="406"/>
      <c r="AP170" s="406"/>
      <c r="AQ170" s="406"/>
    </row>
    <row r="171" spans="1:43" s="407" customFormat="1" ht="12.75" x14ac:dyDescent="0.2">
      <c r="A171" s="406"/>
      <c r="B171" s="14" t="str">
        <f>IF(Tabla1[[#This Row],[Código_Actividad]]="","",CONCATENATE(Tabla1[[#This Row],[POA]],".",Tabla1[[#This Row],[SRS]],".",Tabla1[[#This Row],[AREA]],".",Tabla1[[#This Row],[TIPO]]))</f>
        <v/>
      </c>
      <c r="C171" s="14"/>
      <c r="D171" s="14"/>
      <c r="E171" s="14"/>
      <c r="F171" s="14"/>
      <c r="G171" s="265"/>
      <c r="H171" s="266" t="s">
        <v>541</v>
      </c>
      <c r="I171" s="266" t="s">
        <v>526</v>
      </c>
      <c r="J171" s="265">
        <v>1</v>
      </c>
      <c r="K171" s="268">
        <v>4500</v>
      </c>
      <c r="L171" s="268">
        <f>+Tabla1[[#This Row],[Precio Unitario]]*Tabla1[[#This Row],[Cantidad de Insumos]]</f>
        <v>4500</v>
      </c>
      <c r="M171" s="269" t="s">
        <v>542</v>
      </c>
      <c r="N171" s="266" t="s">
        <v>66</v>
      </c>
      <c r="O171" s="406"/>
      <c r="P171" s="406"/>
      <c r="Q171" s="406"/>
      <c r="R171" s="406"/>
      <c r="S171" s="406"/>
      <c r="T171" s="406"/>
      <c r="U171" s="406"/>
      <c r="V171" s="406"/>
      <c r="W171" s="406"/>
      <c r="X171" s="406"/>
      <c r="Y171" s="406"/>
      <c r="Z171" s="406"/>
      <c r="AA171" s="406"/>
      <c r="AB171" s="406"/>
      <c r="AC171" s="406"/>
      <c r="AD171" s="406"/>
      <c r="AE171" s="406"/>
      <c r="AF171" s="406"/>
      <c r="AG171" s="406"/>
      <c r="AH171" s="406"/>
      <c r="AI171" s="406"/>
      <c r="AJ171" s="406"/>
      <c r="AK171" s="406"/>
      <c r="AL171" s="406"/>
      <c r="AM171" s="406"/>
      <c r="AN171" s="406"/>
      <c r="AO171" s="406"/>
      <c r="AP171" s="406"/>
      <c r="AQ171" s="406"/>
    </row>
    <row r="172" spans="1:43" s="407" customFormat="1" ht="12.75" x14ac:dyDescent="0.2">
      <c r="A172" s="406"/>
      <c r="B172" s="14" t="str">
        <f>IF(Tabla1[[#This Row],[Código_Actividad]]="","",CONCATENATE(Tabla1[[#This Row],[POA]],".",Tabla1[[#This Row],[SRS]],".",Tabla1[[#This Row],[AREA]],".",Tabla1[[#This Row],[TIPO]]))</f>
        <v/>
      </c>
      <c r="C172" s="14"/>
      <c r="D172" s="14"/>
      <c r="E172" s="14"/>
      <c r="F172" s="14"/>
      <c r="G172" s="265"/>
      <c r="H172" s="266" t="s">
        <v>543</v>
      </c>
      <c r="I172" s="266" t="s">
        <v>540</v>
      </c>
      <c r="J172" s="265">
        <v>1</v>
      </c>
      <c r="K172" s="268">
        <v>600</v>
      </c>
      <c r="L172" s="268">
        <f>+Tabla1[[#This Row],[Precio Unitario]]*Tabla1[[#This Row],[Cantidad de Insumos]]</f>
        <v>600</v>
      </c>
      <c r="M172" s="269" t="s">
        <v>529</v>
      </c>
      <c r="N172" s="266" t="s">
        <v>66</v>
      </c>
      <c r="O172" s="406"/>
      <c r="P172" s="406"/>
      <c r="Q172" s="406"/>
      <c r="R172" s="406"/>
      <c r="S172" s="406"/>
      <c r="T172" s="406"/>
      <c r="U172" s="406"/>
      <c r="V172" s="406"/>
      <c r="W172" s="406"/>
      <c r="X172" s="406"/>
      <c r="Y172" s="406"/>
      <c r="Z172" s="406"/>
      <c r="AA172" s="406"/>
      <c r="AB172" s="406"/>
      <c r="AC172" s="406"/>
      <c r="AD172" s="406"/>
      <c r="AE172" s="406"/>
      <c r="AF172" s="406"/>
      <c r="AG172" s="406"/>
      <c r="AH172" s="406"/>
      <c r="AI172" s="406"/>
      <c r="AJ172" s="406"/>
      <c r="AK172" s="406"/>
      <c r="AL172" s="406"/>
      <c r="AM172" s="406"/>
      <c r="AN172" s="406"/>
      <c r="AO172" s="406"/>
      <c r="AP172" s="406"/>
      <c r="AQ172" s="406"/>
    </row>
    <row r="173" spans="1:43" s="407" customFormat="1" ht="12.75" x14ac:dyDescent="0.2">
      <c r="A173" s="406"/>
      <c r="B173" s="14" t="str">
        <f>IF(Tabla1[[#This Row],[Código_Actividad]]="","",CONCATENATE(Tabla1[[#This Row],[POA]],".",Tabla1[[#This Row],[SRS]],".",Tabla1[[#This Row],[AREA]],".",Tabla1[[#This Row],[TIPO]]))</f>
        <v/>
      </c>
      <c r="C173" s="14"/>
      <c r="D173" s="14"/>
      <c r="E173" s="14"/>
      <c r="F173" s="14"/>
      <c r="G173" s="265"/>
      <c r="H173" s="266" t="s">
        <v>544</v>
      </c>
      <c r="I173" s="266" t="s">
        <v>540</v>
      </c>
      <c r="J173" s="265">
        <v>1</v>
      </c>
      <c r="K173" s="268">
        <v>1200</v>
      </c>
      <c r="L173" s="268">
        <f>+Tabla1[[#This Row],[Precio Unitario]]*Tabla1[[#This Row],[Cantidad de Insumos]]</f>
        <v>1200</v>
      </c>
      <c r="M173" s="269" t="s">
        <v>545</v>
      </c>
      <c r="N173" s="266" t="s">
        <v>66</v>
      </c>
      <c r="O173" s="406"/>
      <c r="P173" s="406"/>
      <c r="Q173" s="406"/>
      <c r="R173" s="406"/>
      <c r="S173" s="406"/>
      <c r="T173" s="406"/>
      <c r="U173" s="406"/>
      <c r="V173" s="406"/>
      <c r="W173" s="406"/>
      <c r="X173" s="406"/>
      <c r="Y173" s="406"/>
      <c r="Z173" s="406"/>
      <c r="AA173" s="406"/>
      <c r="AB173" s="406"/>
      <c r="AC173" s="406"/>
      <c r="AD173" s="406"/>
      <c r="AE173" s="406"/>
      <c r="AF173" s="406"/>
      <c r="AG173" s="406"/>
      <c r="AH173" s="406"/>
      <c r="AI173" s="406"/>
      <c r="AJ173" s="406"/>
      <c r="AK173" s="406"/>
      <c r="AL173" s="406"/>
      <c r="AM173" s="406"/>
      <c r="AN173" s="406"/>
      <c r="AO173" s="406"/>
      <c r="AP173" s="406"/>
      <c r="AQ173" s="406"/>
    </row>
    <row r="174" spans="1:43" s="407" customFormat="1" ht="12.75" x14ac:dyDescent="0.2">
      <c r="A174" s="406"/>
      <c r="B174" s="14" t="str">
        <f>IF(Tabla1[[#This Row],[Código_Actividad]]="","",CONCATENATE(Tabla1[[#This Row],[POA]],".",Tabla1[[#This Row],[SRS]],".",Tabla1[[#This Row],[AREA]],".",Tabla1[[#This Row],[TIPO]]))</f>
        <v/>
      </c>
      <c r="C174" s="14"/>
      <c r="D174" s="14"/>
      <c r="E174" s="14"/>
      <c r="F174" s="14"/>
      <c r="G174" s="265"/>
      <c r="H174" s="266" t="s">
        <v>546</v>
      </c>
      <c r="I174" s="266" t="s">
        <v>526</v>
      </c>
      <c r="J174" s="265">
        <v>1</v>
      </c>
      <c r="K174" s="268">
        <v>100</v>
      </c>
      <c r="L174" s="268">
        <f>+Tabla1[[#This Row],[Precio Unitario]]*Tabla1[[#This Row],[Cantidad de Insumos]]</f>
        <v>100</v>
      </c>
      <c r="M174" s="269" t="s">
        <v>529</v>
      </c>
      <c r="N174" s="266" t="s">
        <v>508</v>
      </c>
      <c r="O174" s="406"/>
      <c r="P174" s="406"/>
      <c r="Q174" s="406"/>
      <c r="R174" s="406"/>
      <c r="S174" s="406"/>
      <c r="T174" s="406"/>
      <c r="U174" s="406"/>
      <c r="V174" s="406"/>
      <c r="W174" s="406"/>
      <c r="X174" s="406"/>
      <c r="Y174" s="406"/>
      <c r="Z174" s="406"/>
      <c r="AA174" s="406"/>
      <c r="AB174" s="406"/>
      <c r="AC174" s="406"/>
      <c r="AD174" s="406"/>
      <c r="AE174" s="406"/>
      <c r="AF174" s="406"/>
      <c r="AG174" s="406"/>
      <c r="AH174" s="406"/>
      <c r="AI174" s="406"/>
      <c r="AJ174" s="406"/>
      <c r="AK174" s="406"/>
      <c r="AL174" s="406"/>
      <c r="AM174" s="406"/>
      <c r="AN174" s="406"/>
      <c r="AO174" s="406"/>
      <c r="AP174" s="406"/>
      <c r="AQ174" s="406"/>
    </row>
    <row r="175" spans="1:43" s="407" customFormat="1" ht="12.75" x14ac:dyDescent="0.2">
      <c r="A175" s="406"/>
      <c r="B175" s="14" t="str">
        <f>IF(Tabla1[[#This Row],[Código_Actividad]]="","",CONCATENATE(Tabla1[[#This Row],[POA]],".",Tabla1[[#This Row],[SRS]],".",Tabla1[[#This Row],[AREA]],".",Tabla1[[#This Row],[TIPO]]))</f>
        <v>...</v>
      </c>
      <c r="C175" s="14" t="s">
        <v>523</v>
      </c>
      <c r="D175" s="14" t="s">
        <v>523</v>
      </c>
      <c r="E175" s="14" t="s">
        <v>523</v>
      </c>
      <c r="F175" s="14" t="s">
        <v>523</v>
      </c>
      <c r="G175" s="265" t="s">
        <v>251</v>
      </c>
      <c r="H175" s="266" t="s">
        <v>525</v>
      </c>
      <c r="I175" s="266" t="s">
        <v>526</v>
      </c>
      <c r="J175" s="265">
        <v>1</v>
      </c>
      <c r="K175" s="267">
        <v>35000</v>
      </c>
      <c r="L175" s="268">
        <f>+Tabla1[[#This Row],[Precio Unitario]]*Tabla1[[#This Row],[Cantidad de Insumos]]</f>
        <v>35000</v>
      </c>
      <c r="M175" s="269" t="s">
        <v>527</v>
      </c>
      <c r="N175" s="266" t="s">
        <v>508</v>
      </c>
      <c r="O175" s="406"/>
      <c r="P175" s="406"/>
      <c r="Q175" s="406"/>
      <c r="R175" s="406"/>
      <c r="S175" s="406"/>
      <c r="T175" s="406"/>
      <c r="U175" s="406"/>
      <c r="V175" s="406"/>
      <c r="W175" s="406"/>
      <c r="X175" s="406"/>
      <c r="Y175" s="406"/>
      <c r="Z175" s="406"/>
      <c r="AA175" s="406"/>
      <c r="AB175" s="406"/>
      <c r="AC175" s="406"/>
      <c r="AD175" s="406"/>
      <c r="AE175" s="406"/>
      <c r="AF175" s="406"/>
      <c r="AG175" s="406"/>
      <c r="AH175" s="406"/>
      <c r="AI175" s="406"/>
      <c r="AJ175" s="406"/>
      <c r="AK175" s="406"/>
      <c r="AL175" s="406"/>
      <c r="AM175" s="406"/>
      <c r="AN175" s="406"/>
      <c r="AO175" s="406"/>
      <c r="AP175" s="406"/>
      <c r="AQ175" s="406"/>
    </row>
    <row r="176" spans="1:43" s="407" customFormat="1" ht="12.75" x14ac:dyDescent="0.2">
      <c r="A176" s="406"/>
      <c r="B176" s="14" t="str">
        <f>IF(Tabla1[[#This Row],[Código_Actividad]]="","",CONCATENATE(Tabla1[[#This Row],[POA]],".",Tabla1[[#This Row],[SRS]],".",Tabla1[[#This Row],[AREA]],".",Tabla1[[#This Row],[TIPO]]))</f>
        <v/>
      </c>
      <c r="C176" s="14"/>
      <c r="D176" s="14"/>
      <c r="E176" s="14"/>
      <c r="F176" s="14"/>
      <c r="G176" s="265"/>
      <c r="H176" s="266" t="s">
        <v>547</v>
      </c>
      <c r="I176" s="266" t="s">
        <v>526</v>
      </c>
      <c r="J176" s="265">
        <v>1</v>
      </c>
      <c r="K176" s="268">
        <v>60000</v>
      </c>
      <c r="L176" s="268">
        <f>+Tabla1[[#This Row],[Precio Unitario]]*Tabla1[[#This Row],[Cantidad de Insumos]]</f>
        <v>60000</v>
      </c>
      <c r="M176" s="269" t="s">
        <v>527</v>
      </c>
      <c r="N176" s="266" t="s">
        <v>508</v>
      </c>
      <c r="O176" s="406"/>
      <c r="P176" s="406"/>
      <c r="Q176" s="406"/>
      <c r="R176" s="406"/>
      <c r="S176" s="406"/>
      <c r="T176" s="406"/>
      <c r="U176" s="406"/>
      <c r="V176" s="406"/>
      <c r="W176" s="406"/>
      <c r="X176" s="406"/>
      <c r="Y176" s="406"/>
      <c r="Z176" s="406"/>
      <c r="AA176" s="406"/>
      <c r="AB176" s="406"/>
      <c r="AC176" s="406"/>
      <c r="AD176" s="406"/>
      <c r="AE176" s="406"/>
      <c r="AF176" s="406"/>
      <c r="AG176" s="406"/>
      <c r="AH176" s="406"/>
      <c r="AI176" s="406"/>
      <c r="AJ176" s="406"/>
      <c r="AK176" s="406"/>
      <c r="AL176" s="406"/>
      <c r="AM176" s="406"/>
      <c r="AN176" s="406"/>
      <c r="AO176" s="406"/>
      <c r="AP176" s="406"/>
      <c r="AQ176" s="406"/>
    </row>
    <row r="177" spans="1:43" s="407" customFormat="1" ht="12.75" x14ac:dyDescent="0.2">
      <c r="A177" s="406"/>
      <c r="B177" s="14" t="str">
        <f>IF(Tabla1[[#This Row],[Código_Actividad]]="","",CONCATENATE(Tabla1[[#This Row],[POA]],".",Tabla1[[#This Row],[SRS]],".",Tabla1[[#This Row],[AREA]],".",Tabla1[[#This Row],[TIPO]]))</f>
        <v/>
      </c>
      <c r="C177" s="14"/>
      <c r="D177" s="14"/>
      <c r="E177" s="14"/>
      <c r="F177" s="14"/>
      <c r="G177" s="265"/>
      <c r="H177" s="266" t="s">
        <v>534</v>
      </c>
      <c r="I177" s="266" t="s">
        <v>526</v>
      </c>
      <c r="J177" s="265">
        <v>1</v>
      </c>
      <c r="K177" s="268">
        <v>1400</v>
      </c>
      <c r="L177" s="268">
        <f>+Tabla1[[#This Row],[Precio Unitario]]*Tabla1[[#This Row],[Cantidad de Insumos]]</f>
        <v>1400</v>
      </c>
      <c r="M177" s="269" t="s">
        <v>529</v>
      </c>
      <c r="N177" s="266" t="s">
        <v>66</v>
      </c>
      <c r="O177" s="406"/>
      <c r="P177" s="406"/>
      <c r="Q177" s="406"/>
      <c r="R177" s="406"/>
      <c r="S177" s="406"/>
      <c r="T177" s="406"/>
      <c r="U177" s="406"/>
      <c r="V177" s="406"/>
      <c r="W177" s="406"/>
      <c r="X177" s="406"/>
      <c r="Y177" s="406"/>
      <c r="Z177" s="406"/>
      <c r="AA177" s="406"/>
      <c r="AB177" s="406"/>
      <c r="AC177" s="406"/>
      <c r="AD177" s="406"/>
      <c r="AE177" s="406"/>
      <c r="AF177" s="406"/>
      <c r="AG177" s="406"/>
      <c r="AH177" s="406"/>
      <c r="AI177" s="406"/>
      <c r="AJ177" s="406"/>
      <c r="AK177" s="406"/>
      <c r="AL177" s="406"/>
      <c r="AM177" s="406"/>
      <c r="AN177" s="406"/>
      <c r="AO177" s="406"/>
      <c r="AP177" s="406"/>
      <c r="AQ177" s="406"/>
    </row>
    <row r="178" spans="1:43" s="407" customFormat="1" ht="12.75" x14ac:dyDescent="0.2">
      <c r="A178" s="406"/>
      <c r="B178" s="14" t="str">
        <f>IF(Tabla1[[#This Row],[Código_Actividad]]="","",CONCATENATE(Tabla1[[#This Row],[POA]],".",Tabla1[[#This Row],[SRS]],".",Tabla1[[#This Row],[AREA]],".",Tabla1[[#This Row],[TIPO]]))</f>
        <v/>
      </c>
      <c r="C178" s="14"/>
      <c r="D178" s="14"/>
      <c r="E178" s="14"/>
      <c r="F178" s="14"/>
      <c r="G178" s="265"/>
      <c r="H178" s="266" t="s">
        <v>535</v>
      </c>
      <c r="I178" s="266" t="s">
        <v>536</v>
      </c>
      <c r="J178" s="265">
        <v>1</v>
      </c>
      <c r="K178" s="268">
        <v>500</v>
      </c>
      <c r="L178" s="268">
        <f>+Tabla1[[#This Row],[Precio Unitario]]*Tabla1[[#This Row],[Cantidad de Insumos]]</f>
        <v>500</v>
      </c>
      <c r="M178" s="269" t="s">
        <v>533</v>
      </c>
      <c r="N178" s="266" t="s">
        <v>66</v>
      </c>
      <c r="O178" s="406"/>
      <c r="P178" s="406"/>
      <c r="Q178" s="406"/>
      <c r="R178" s="406"/>
      <c r="S178" s="406"/>
      <c r="T178" s="406"/>
      <c r="U178" s="406"/>
      <c r="V178" s="406"/>
      <c r="W178" s="406"/>
      <c r="X178" s="406"/>
      <c r="Y178" s="406"/>
      <c r="Z178" s="406"/>
      <c r="AA178" s="406"/>
      <c r="AB178" s="406"/>
      <c r="AC178" s="406"/>
      <c r="AD178" s="406"/>
      <c r="AE178" s="406"/>
      <c r="AF178" s="406"/>
      <c r="AG178" s="406"/>
      <c r="AH178" s="406"/>
      <c r="AI178" s="406"/>
      <c r="AJ178" s="406"/>
      <c r="AK178" s="406"/>
      <c r="AL178" s="406"/>
      <c r="AM178" s="406"/>
      <c r="AN178" s="406"/>
      <c r="AO178" s="406"/>
      <c r="AP178" s="406"/>
      <c r="AQ178" s="406"/>
    </row>
    <row r="179" spans="1:43" s="407" customFormat="1" ht="12.75" x14ac:dyDescent="0.2">
      <c r="A179" s="406"/>
      <c r="B179" s="14" t="str">
        <f>IF(Tabla1[[#This Row],[Código_Actividad]]="","",CONCATENATE(Tabla1[[#This Row],[POA]],".",Tabla1[[#This Row],[SRS]],".",Tabla1[[#This Row],[AREA]],".",Tabla1[[#This Row],[TIPO]]))</f>
        <v/>
      </c>
      <c r="C179" s="14"/>
      <c r="D179" s="14"/>
      <c r="E179" s="14"/>
      <c r="F179" s="14"/>
      <c r="G179" s="265"/>
      <c r="H179" s="266" t="s">
        <v>537</v>
      </c>
      <c r="I179" s="266" t="s">
        <v>526</v>
      </c>
      <c r="J179" s="265">
        <v>1</v>
      </c>
      <c r="K179" s="268">
        <v>180</v>
      </c>
      <c r="L179" s="268">
        <f>+Tabla1[[#This Row],[Precio Unitario]]*Tabla1[[#This Row],[Cantidad de Insumos]]</f>
        <v>180</v>
      </c>
      <c r="M179" s="269" t="s">
        <v>538</v>
      </c>
      <c r="N179" s="266" t="s">
        <v>66</v>
      </c>
      <c r="O179" s="406"/>
      <c r="P179" s="406"/>
      <c r="Q179" s="406"/>
      <c r="R179" s="406"/>
      <c r="S179" s="406"/>
      <c r="T179" s="406"/>
      <c r="U179" s="406"/>
      <c r="V179" s="406"/>
      <c r="W179" s="406"/>
      <c r="X179" s="406"/>
      <c r="Y179" s="406"/>
      <c r="Z179" s="406"/>
      <c r="AA179" s="406"/>
      <c r="AB179" s="406"/>
      <c r="AC179" s="406"/>
      <c r="AD179" s="406"/>
      <c r="AE179" s="406"/>
      <c r="AF179" s="406"/>
      <c r="AG179" s="406"/>
      <c r="AH179" s="406"/>
      <c r="AI179" s="406"/>
      <c r="AJ179" s="406"/>
      <c r="AK179" s="406"/>
      <c r="AL179" s="406"/>
      <c r="AM179" s="406"/>
      <c r="AN179" s="406"/>
      <c r="AO179" s="406"/>
      <c r="AP179" s="406"/>
      <c r="AQ179" s="406"/>
    </row>
    <row r="180" spans="1:43" s="407" customFormat="1" ht="12.75" x14ac:dyDescent="0.2">
      <c r="A180" s="406"/>
      <c r="B180" s="14" t="str">
        <f>IF(Tabla1[[#This Row],[Código_Actividad]]="","",CONCATENATE(Tabla1[[#This Row],[POA]],".",Tabla1[[#This Row],[SRS]],".",Tabla1[[#This Row],[AREA]],".",Tabla1[[#This Row],[TIPO]]))</f>
        <v/>
      </c>
      <c r="C180" s="14"/>
      <c r="D180" s="14"/>
      <c r="E180" s="14"/>
      <c r="F180" s="14"/>
      <c r="G180" s="265"/>
      <c r="H180" s="266" t="s">
        <v>539</v>
      </c>
      <c r="I180" s="266" t="s">
        <v>540</v>
      </c>
      <c r="J180" s="265">
        <v>1</v>
      </c>
      <c r="K180" s="268">
        <v>120</v>
      </c>
      <c r="L180" s="268">
        <f>+Tabla1[[#This Row],[Precio Unitario]]*Tabla1[[#This Row],[Cantidad de Insumos]]</f>
        <v>120</v>
      </c>
      <c r="M180" s="269" t="s">
        <v>529</v>
      </c>
      <c r="N180" s="266" t="s">
        <v>66</v>
      </c>
      <c r="O180" s="406"/>
      <c r="P180" s="406"/>
      <c r="Q180" s="406"/>
      <c r="R180" s="406"/>
      <c r="S180" s="406"/>
      <c r="T180" s="406"/>
      <c r="U180" s="406"/>
      <c r="V180" s="406"/>
      <c r="W180" s="406"/>
      <c r="X180" s="406"/>
      <c r="Y180" s="406"/>
      <c r="Z180" s="406"/>
      <c r="AA180" s="406"/>
      <c r="AB180" s="406"/>
      <c r="AC180" s="406"/>
      <c r="AD180" s="406"/>
      <c r="AE180" s="406"/>
      <c r="AF180" s="406"/>
      <c r="AG180" s="406"/>
      <c r="AH180" s="406"/>
      <c r="AI180" s="406"/>
      <c r="AJ180" s="406"/>
      <c r="AK180" s="406"/>
      <c r="AL180" s="406"/>
      <c r="AM180" s="406"/>
      <c r="AN180" s="406"/>
      <c r="AO180" s="406"/>
      <c r="AP180" s="406"/>
      <c r="AQ180" s="406"/>
    </row>
    <row r="181" spans="1:43" s="407" customFormat="1" ht="12.75" x14ac:dyDescent="0.2">
      <c r="A181" s="406"/>
      <c r="B181" s="14" t="str">
        <f>IF(Tabla1[[#This Row],[Código_Actividad]]="","",CONCATENATE(Tabla1[[#This Row],[POA]],".",Tabla1[[#This Row],[SRS]],".",Tabla1[[#This Row],[AREA]],".",Tabla1[[#This Row],[TIPO]]))</f>
        <v/>
      </c>
      <c r="C181" s="14"/>
      <c r="D181" s="14"/>
      <c r="E181" s="14"/>
      <c r="F181" s="14"/>
      <c r="G181" s="265"/>
      <c r="H181" s="266" t="s">
        <v>541</v>
      </c>
      <c r="I181" s="266" t="s">
        <v>526</v>
      </c>
      <c r="J181" s="265">
        <v>1</v>
      </c>
      <c r="K181" s="268">
        <v>4500</v>
      </c>
      <c r="L181" s="268">
        <f>+Tabla1[[#This Row],[Precio Unitario]]*Tabla1[[#This Row],[Cantidad de Insumos]]</f>
        <v>4500</v>
      </c>
      <c r="M181" s="269" t="s">
        <v>542</v>
      </c>
      <c r="N181" s="266" t="s">
        <v>66</v>
      </c>
      <c r="O181" s="406"/>
      <c r="P181" s="406"/>
      <c r="Q181" s="406"/>
      <c r="R181" s="406"/>
      <c r="S181" s="406"/>
      <c r="T181" s="406"/>
      <c r="U181" s="406"/>
      <c r="V181" s="406"/>
      <c r="W181" s="406"/>
      <c r="X181" s="406"/>
      <c r="Y181" s="406"/>
      <c r="Z181" s="406"/>
      <c r="AA181" s="406"/>
      <c r="AB181" s="406"/>
      <c r="AC181" s="406"/>
      <c r="AD181" s="406"/>
      <c r="AE181" s="406"/>
      <c r="AF181" s="406"/>
      <c r="AG181" s="406"/>
      <c r="AH181" s="406"/>
      <c r="AI181" s="406"/>
      <c r="AJ181" s="406"/>
      <c r="AK181" s="406"/>
      <c r="AL181" s="406"/>
      <c r="AM181" s="406"/>
      <c r="AN181" s="406"/>
      <c r="AO181" s="406"/>
      <c r="AP181" s="406"/>
      <c r="AQ181" s="406"/>
    </row>
    <row r="182" spans="1:43" s="407" customFormat="1" ht="12.75" x14ac:dyDescent="0.2">
      <c r="A182" s="406"/>
      <c r="B182" s="14" t="str">
        <f>IF(Tabla1[[#This Row],[Código_Actividad]]="","",CONCATENATE(Tabla1[[#This Row],[POA]],".",Tabla1[[#This Row],[SRS]],".",Tabla1[[#This Row],[AREA]],".",Tabla1[[#This Row],[TIPO]]))</f>
        <v/>
      </c>
      <c r="C182" s="14"/>
      <c r="D182" s="14"/>
      <c r="E182" s="14"/>
      <c r="F182" s="14"/>
      <c r="G182" s="265"/>
      <c r="H182" s="266" t="s">
        <v>543</v>
      </c>
      <c r="I182" s="266" t="s">
        <v>540</v>
      </c>
      <c r="J182" s="265">
        <v>1</v>
      </c>
      <c r="K182" s="268">
        <v>600</v>
      </c>
      <c r="L182" s="268">
        <f>+Tabla1[[#This Row],[Precio Unitario]]*Tabla1[[#This Row],[Cantidad de Insumos]]</f>
        <v>600</v>
      </c>
      <c r="M182" s="269" t="s">
        <v>529</v>
      </c>
      <c r="N182" s="266" t="s">
        <v>66</v>
      </c>
      <c r="O182" s="406"/>
      <c r="P182" s="406"/>
      <c r="Q182" s="406"/>
      <c r="R182" s="406"/>
      <c r="S182" s="406"/>
      <c r="T182" s="406"/>
      <c r="U182" s="406"/>
      <c r="V182" s="406"/>
      <c r="W182" s="406"/>
      <c r="X182" s="406"/>
      <c r="Y182" s="406"/>
      <c r="Z182" s="406"/>
      <c r="AA182" s="406"/>
      <c r="AB182" s="406"/>
      <c r="AC182" s="406"/>
      <c r="AD182" s="406"/>
      <c r="AE182" s="406"/>
      <c r="AF182" s="406"/>
      <c r="AG182" s="406"/>
      <c r="AH182" s="406"/>
      <c r="AI182" s="406"/>
      <c r="AJ182" s="406"/>
      <c r="AK182" s="406"/>
      <c r="AL182" s="406"/>
      <c r="AM182" s="406"/>
      <c r="AN182" s="406"/>
      <c r="AO182" s="406"/>
      <c r="AP182" s="406"/>
      <c r="AQ182" s="406"/>
    </row>
    <row r="183" spans="1:43" s="407" customFormat="1" ht="12.75" x14ac:dyDescent="0.2">
      <c r="A183" s="406"/>
      <c r="B183" s="14" t="str">
        <f>IF(Tabla1[[#This Row],[Código_Actividad]]="","",CONCATENATE(Tabla1[[#This Row],[POA]],".",Tabla1[[#This Row],[SRS]],".",Tabla1[[#This Row],[AREA]],".",Tabla1[[#This Row],[TIPO]]))</f>
        <v/>
      </c>
      <c r="C183" s="14"/>
      <c r="D183" s="14"/>
      <c r="E183" s="14"/>
      <c r="F183" s="14"/>
      <c r="G183" s="265"/>
      <c r="H183" s="266" t="s">
        <v>530</v>
      </c>
      <c r="I183" s="405" t="s">
        <v>526</v>
      </c>
      <c r="J183" s="265">
        <v>4</v>
      </c>
      <c r="K183" s="268">
        <v>30</v>
      </c>
      <c r="L183" s="268">
        <f>+Tabla1[[#This Row],[Precio Unitario]]*Tabla1[[#This Row],[Cantidad de Insumos]]</f>
        <v>120</v>
      </c>
      <c r="M183" s="269" t="s">
        <v>529</v>
      </c>
      <c r="N183" s="266" t="s">
        <v>66</v>
      </c>
      <c r="O183" s="406"/>
      <c r="P183" s="406"/>
      <c r="Q183" s="406"/>
      <c r="R183" s="406"/>
      <c r="S183" s="406"/>
      <c r="T183" s="406"/>
      <c r="U183" s="406"/>
      <c r="V183" s="406"/>
      <c r="W183" s="406"/>
      <c r="X183" s="406"/>
      <c r="Y183" s="406"/>
      <c r="Z183" s="406"/>
      <c r="AA183" s="406"/>
      <c r="AB183" s="406"/>
      <c r="AC183" s="406"/>
      <c r="AD183" s="406"/>
      <c r="AE183" s="406"/>
      <c r="AF183" s="406"/>
      <c r="AG183" s="406"/>
      <c r="AH183" s="406"/>
      <c r="AI183" s="406"/>
      <c r="AJ183" s="406"/>
      <c r="AK183" s="406"/>
      <c r="AL183" s="406"/>
      <c r="AM183" s="406"/>
      <c r="AN183" s="406"/>
      <c r="AO183" s="406"/>
      <c r="AP183" s="406"/>
      <c r="AQ183" s="406"/>
    </row>
    <row r="184" spans="1:43" s="407" customFormat="1" ht="12.75" x14ac:dyDescent="0.2">
      <c r="A184" s="406"/>
      <c r="B184" s="14" t="str">
        <f>IF(Tabla1[[#This Row],[Código_Actividad]]="","",CONCATENATE(Tabla1[[#This Row],[POA]],".",Tabla1[[#This Row],[SRS]],".",Tabla1[[#This Row],[AREA]],".",Tabla1[[#This Row],[TIPO]]))</f>
        <v/>
      </c>
      <c r="C184" s="14"/>
      <c r="D184" s="14"/>
      <c r="E184" s="14"/>
      <c r="F184" s="14"/>
      <c r="G184" s="265"/>
      <c r="H184" s="266" t="s">
        <v>531</v>
      </c>
      <c r="I184" s="405" t="s">
        <v>532</v>
      </c>
      <c r="J184" s="265">
        <v>1</v>
      </c>
      <c r="K184" s="268">
        <v>150</v>
      </c>
      <c r="L184" s="268">
        <f>+Tabla1[[#This Row],[Precio Unitario]]*Tabla1[[#This Row],[Cantidad de Insumos]]</f>
        <v>150</v>
      </c>
      <c r="M184" s="269" t="s">
        <v>533</v>
      </c>
      <c r="N184" s="266" t="s">
        <v>66</v>
      </c>
      <c r="O184" s="406"/>
      <c r="P184" s="406"/>
      <c r="Q184" s="406"/>
      <c r="R184" s="406"/>
      <c r="S184" s="406"/>
      <c r="T184" s="406"/>
      <c r="U184" s="406"/>
      <c r="V184" s="406"/>
      <c r="W184" s="406"/>
      <c r="X184" s="406"/>
      <c r="Y184" s="406"/>
      <c r="Z184" s="406"/>
      <c r="AA184" s="406"/>
      <c r="AB184" s="406"/>
      <c r="AC184" s="406"/>
      <c r="AD184" s="406"/>
      <c r="AE184" s="406"/>
      <c r="AF184" s="406"/>
      <c r="AG184" s="406"/>
      <c r="AH184" s="406"/>
      <c r="AI184" s="406"/>
      <c r="AJ184" s="406"/>
      <c r="AK184" s="406"/>
      <c r="AL184" s="406"/>
      <c r="AM184" s="406"/>
      <c r="AN184" s="406"/>
      <c r="AO184" s="406"/>
      <c r="AP184" s="406"/>
      <c r="AQ184" s="406"/>
    </row>
    <row r="185" spans="1:43" s="407" customFormat="1" ht="12.75" x14ac:dyDescent="0.2">
      <c r="A185" s="406"/>
      <c r="B185" s="14" t="str">
        <f>IF(Tabla1[[#This Row],[Código_Actividad]]="","",CONCATENATE(Tabla1[[#This Row],[POA]],".",Tabla1[[#This Row],[SRS]],".",Tabla1[[#This Row],[AREA]],".",Tabla1[[#This Row],[TIPO]]))</f>
        <v/>
      </c>
      <c r="C185" s="14"/>
      <c r="D185" s="14"/>
      <c r="E185" s="14"/>
      <c r="F185" s="14"/>
      <c r="G185" s="265"/>
      <c r="H185" s="266" t="s">
        <v>544</v>
      </c>
      <c r="I185" s="266" t="s">
        <v>540</v>
      </c>
      <c r="J185" s="265">
        <v>1</v>
      </c>
      <c r="K185" s="268">
        <v>1200</v>
      </c>
      <c r="L185" s="268">
        <f>+Tabla1[[#This Row],[Precio Unitario]]*Tabla1[[#This Row],[Cantidad de Insumos]]</f>
        <v>1200</v>
      </c>
      <c r="M185" s="269" t="s">
        <v>545</v>
      </c>
      <c r="N185" s="266" t="s">
        <v>66</v>
      </c>
      <c r="O185" s="406"/>
      <c r="P185" s="406"/>
      <c r="Q185" s="406"/>
      <c r="R185" s="406"/>
      <c r="S185" s="406"/>
      <c r="T185" s="406"/>
      <c r="U185" s="406"/>
      <c r="V185" s="406"/>
      <c r="W185" s="406"/>
      <c r="X185" s="406"/>
      <c r="Y185" s="406"/>
      <c r="Z185" s="406"/>
      <c r="AA185" s="406"/>
      <c r="AB185" s="406"/>
      <c r="AC185" s="406"/>
      <c r="AD185" s="406"/>
      <c r="AE185" s="406"/>
      <c r="AF185" s="406"/>
      <c r="AG185" s="406"/>
      <c r="AH185" s="406"/>
      <c r="AI185" s="406"/>
      <c r="AJ185" s="406"/>
      <c r="AK185" s="406"/>
      <c r="AL185" s="406"/>
      <c r="AM185" s="406"/>
      <c r="AN185" s="406"/>
      <c r="AO185" s="406"/>
      <c r="AP185" s="406"/>
      <c r="AQ185" s="406"/>
    </row>
    <row r="186" spans="1:43" s="407" customFormat="1" ht="12.75" x14ac:dyDescent="0.2">
      <c r="A186" s="406"/>
      <c r="B186" s="14" t="str">
        <f>IF(Tabla1[[#This Row],[Código_Actividad]]="","",CONCATENATE(Tabla1[[#This Row],[POA]],".",Tabla1[[#This Row],[SRS]],".",Tabla1[[#This Row],[AREA]],".",Tabla1[[#This Row],[TIPO]]))</f>
        <v/>
      </c>
      <c r="C186" s="14"/>
      <c r="D186" s="14"/>
      <c r="E186" s="14"/>
      <c r="F186" s="14"/>
      <c r="G186" s="265"/>
      <c r="H186" s="266" t="s">
        <v>546</v>
      </c>
      <c r="I186" s="266" t="s">
        <v>526</v>
      </c>
      <c r="J186" s="265">
        <v>1</v>
      </c>
      <c r="K186" s="268">
        <v>100</v>
      </c>
      <c r="L186" s="268">
        <f>+Tabla1[[#This Row],[Precio Unitario]]*Tabla1[[#This Row],[Cantidad de Insumos]]</f>
        <v>100</v>
      </c>
      <c r="M186" s="269" t="s">
        <v>529</v>
      </c>
      <c r="N186" s="266" t="s">
        <v>508</v>
      </c>
      <c r="O186" s="406"/>
      <c r="P186" s="406"/>
      <c r="Q186" s="406"/>
      <c r="R186" s="406"/>
      <c r="S186" s="406"/>
      <c r="T186" s="406"/>
      <c r="U186" s="406"/>
      <c r="V186" s="406"/>
      <c r="W186" s="406"/>
      <c r="X186" s="406"/>
      <c r="Y186" s="406"/>
      <c r="Z186" s="406"/>
      <c r="AA186" s="406"/>
      <c r="AB186" s="406"/>
      <c r="AC186" s="406"/>
      <c r="AD186" s="406"/>
      <c r="AE186" s="406"/>
      <c r="AF186" s="406"/>
      <c r="AG186" s="406"/>
      <c r="AH186" s="406"/>
      <c r="AI186" s="406"/>
      <c r="AJ186" s="406"/>
      <c r="AK186" s="406"/>
      <c r="AL186" s="406"/>
      <c r="AM186" s="406"/>
      <c r="AN186" s="406"/>
      <c r="AO186" s="406"/>
      <c r="AP186" s="406"/>
      <c r="AQ186" s="406"/>
    </row>
    <row r="187" spans="1:43" s="407" customFormat="1" ht="12.75" x14ac:dyDescent="0.2">
      <c r="A187" s="406"/>
      <c r="B187" s="14" t="str">
        <f>IF(Tabla1[[#This Row],[Código_Actividad]]="","",CONCATENATE(Tabla1[[#This Row],[POA]],".",Tabla1[[#This Row],[SRS]],".",Tabla1[[#This Row],[AREA]],".",Tabla1[[#This Row],[TIPO]]))</f>
        <v>...</v>
      </c>
      <c r="C187" s="14" t="s">
        <v>523</v>
      </c>
      <c r="D187" s="14" t="s">
        <v>523</v>
      </c>
      <c r="E187" s="14" t="s">
        <v>523</v>
      </c>
      <c r="F187" s="14" t="s">
        <v>523</v>
      </c>
      <c r="G187" s="265" t="s">
        <v>254</v>
      </c>
      <c r="H187" s="266" t="s">
        <v>525</v>
      </c>
      <c r="I187" s="266" t="s">
        <v>526</v>
      </c>
      <c r="J187" s="265">
        <v>1</v>
      </c>
      <c r="K187" s="267">
        <v>35000</v>
      </c>
      <c r="L187" s="268">
        <f>+Tabla1[[#This Row],[Precio Unitario]]*Tabla1[[#This Row],[Cantidad de Insumos]]</f>
        <v>35000</v>
      </c>
      <c r="M187" s="269" t="s">
        <v>527</v>
      </c>
      <c r="N187" s="266" t="s">
        <v>508</v>
      </c>
      <c r="O187" s="406"/>
      <c r="P187" s="406"/>
      <c r="Q187" s="406"/>
      <c r="R187" s="406"/>
      <c r="S187" s="406"/>
      <c r="T187" s="406"/>
      <c r="U187" s="406"/>
      <c r="V187" s="406"/>
      <c r="W187" s="406"/>
      <c r="X187" s="406"/>
      <c r="Y187" s="406"/>
      <c r="Z187" s="406"/>
      <c r="AA187" s="406"/>
      <c r="AB187" s="406"/>
      <c r="AC187" s="406"/>
      <c r="AD187" s="406"/>
      <c r="AE187" s="406"/>
      <c r="AF187" s="406"/>
      <c r="AG187" s="406"/>
      <c r="AH187" s="406"/>
      <c r="AI187" s="406"/>
      <c r="AJ187" s="406"/>
      <c r="AK187" s="406"/>
      <c r="AL187" s="406"/>
      <c r="AM187" s="406"/>
      <c r="AN187" s="406"/>
      <c r="AO187" s="406"/>
      <c r="AP187" s="406"/>
      <c r="AQ187" s="406"/>
    </row>
    <row r="188" spans="1:43" s="407" customFormat="1" ht="12.75" x14ac:dyDescent="0.2">
      <c r="A188" s="406"/>
      <c r="B188" s="14" t="str">
        <f>IF(Tabla1[[#This Row],[Código_Actividad]]="","",CONCATENATE(Tabla1[[#This Row],[POA]],".",Tabla1[[#This Row],[SRS]],".",Tabla1[[#This Row],[AREA]],".",Tabla1[[#This Row],[TIPO]]))</f>
        <v/>
      </c>
      <c r="C188" s="14"/>
      <c r="D188" s="14"/>
      <c r="E188" s="14"/>
      <c r="F188" s="14"/>
      <c r="G188" s="265"/>
      <c r="H188" s="266" t="s">
        <v>534</v>
      </c>
      <c r="I188" s="266" t="s">
        <v>526</v>
      </c>
      <c r="J188" s="265">
        <v>1</v>
      </c>
      <c r="K188" s="268">
        <v>1400</v>
      </c>
      <c r="L188" s="268">
        <f>+Tabla1[[#This Row],[Precio Unitario]]*Tabla1[[#This Row],[Cantidad de Insumos]]</f>
        <v>1400</v>
      </c>
      <c r="M188" s="269" t="s">
        <v>529</v>
      </c>
      <c r="N188" s="266" t="s">
        <v>66</v>
      </c>
      <c r="O188" s="406"/>
      <c r="P188" s="406"/>
      <c r="Q188" s="406"/>
      <c r="R188" s="406"/>
      <c r="S188" s="406"/>
      <c r="T188" s="406"/>
      <c r="U188" s="406"/>
      <c r="V188" s="406"/>
      <c r="W188" s="406"/>
      <c r="X188" s="406"/>
      <c r="Y188" s="406"/>
      <c r="Z188" s="406"/>
      <c r="AA188" s="406"/>
      <c r="AB188" s="406"/>
      <c r="AC188" s="406"/>
      <c r="AD188" s="406"/>
      <c r="AE188" s="406"/>
      <c r="AF188" s="406"/>
      <c r="AG188" s="406"/>
      <c r="AH188" s="406"/>
      <c r="AI188" s="406"/>
      <c r="AJ188" s="406"/>
      <c r="AK188" s="406"/>
      <c r="AL188" s="406"/>
      <c r="AM188" s="406"/>
      <c r="AN188" s="406"/>
      <c r="AO188" s="406"/>
      <c r="AP188" s="406"/>
      <c r="AQ188" s="406"/>
    </row>
    <row r="189" spans="1:43" s="407" customFormat="1" ht="12.75" x14ac:dyDescent="0.2">
      <c r="A189" s="406"/>
      <c r="B189" s="14" t="str">
        <f>IF(Tabla1[[#This Row],[Código_Actividad]]="","",CONCATENATE(Tabla1[[#This Row],[POA]],".",Tabla1[[#This Row],[SRS]],".",Tabla1[[#This Row],[AREA]],".",Tabla1[[#This Row],[TIPO]]))</f>
        <v/>
      </c>
      <c r="C189" s="14"/>
      <c r="D189" s="14"/>
      <c r="E189" s="14"/>
      <c r="F189" s="14"/>
      <c r="G189" s="265"/>
      <c r="H189" s="266" t="s">
        <v>535</v>
      </c>
      <c r="I189" s="266" t="s">
        <v>536</v>
      </c>
      <c r="J189" s="265">
        <v>1</v>
      </c>
      <c r="K189" s="268">
        <v>500</v>
      </c>
      <c r="L189" s="268">
        <f>+Tabla1[[#This Row],[Precio Unitario]]*Tabla1[[#This Row],[Cantidad de Insumos]]</f>
        <v>500</v>
      </c>
      <c r="M189" s="269" t="s">
        <v>533</v>
      </c>
      <c r="N189" s="266" t="s">
        <v>66</v>
      </c>
      <c r="O189" s="406"/>
      <c r="P189" s="406"/>
      <c r="Q189" s="406"/>
      <c r="R189" s="406"/>
      <c r="S189" s="406"/>
      <c r="T189" s="406"/>
      <c r="U189" s="406"/>
      <c r="V189" s="406"/>
      <c r="W189" s="406"/>
      <c r="X189" s="406"/>
      <c r="Y189" s="406"/>
      <c r="Z189" s="406"/>
      <c r="AA189" s="406"/>
      <c r="AB189" s="406"/>
      <c r="AC189" s="406"/>
      <c r="AD189" s="406"/>
      <c r="AE189" s="406"/>
      <c r="AF189" s="406"/>
      <c r="AG189" s="406"/>
      <c r="AH189" s="406"/>
      <c r="AI189" s="406"/>
      <c r="AJ189" s="406"/>
      <c r="AK189" s="406"/>
      <c r="AL189" s="406"/>
      <c r="AM189" s="406"/>
      <c r="AN189" s="406"/>
      <c r="AO189" s="406"/>
      <c r="AP189" s="406"/>
      <c r="AQ189" s="406"/>
    </row>
    <row r="190" spans="1:43" s="407" customFormat="1" ht="12.75" x14ac:dyDescent="0.2">
      <c r="A190" s="406"/>
      <c r="B190" s="14" t="str">
        <f>IF(Tabla1[[#This Row],[Código_Actividad]]="","",CONCATENATE(Tabla1[[#This Row],[POA]],".",Tabla1[[#This Row],[SRS]],".",Tabla1[[#This Row],[AREA]],".",Tabla1[[#This Row],[TIPO]]))</f>
        <v/>
      </c>
      <c r="C190" s="14"/>
      <c r="D190" s="14"/>
      <c r="E190" s="14"/>
      <c r="F190" s="14"/>
      <c r="G190" s="265"/>
      <c r="H190" s="266" t="s">
        <v>537</v>
      </c>
      <c r="I190" s="266" t="s">
        <v>526</v>
      </c>
      <c r="J190" s="265">
        <v>1</v>
      </c>
      <c r="K190" s="268">
        <v>180</v>
      </c>
      <c r="L190" s="268">
        <f>+Tabla1[[#This Row],[Precio Unitario]]*Tabla1[[#This Row],[Cantidad de Insumos]]</f>
        <v>180</v>
      </c>
      <c r="M190" s="269" t="s">
        <v>538</v>
      </c>
      <c r="N190" s="266" t="s">
        <v>66</v>
      </c>
      <c r="O190" s="406"/>
      <c r="P190" s="406"/>
      <c r="Q190" s="406"/>
      <c r="R190" s="406"/>
      <c r="S190" s="406"/>
      <c r="T190" s="406"/>
      <c r="U190" s="406"/>
      <c r="V190" s="406"/>
      <c r="W190" s="406"/>
      <c r="X190" s="406"/>
      <c r="Y190" s="406"/>
      <c r="Z190" s="406"/>
      <c r="AA190" s="406"/>
      <c r="AB190" s="406"/>
      <c r="AC190" s="406"/>
      <c r="AD190" s="406"/>
      <c r="AE190" s="406"/>
      <c r="AF190" s="406"/>
      <c r="AG190" s="406"/>
      <c r="AH190" s="406"/>
      <c r="AI190" s="406"/>
      <c r="AJ190" s="406"/>
      <c r="AK190" s="406"/>
      <c r="AL190" s="406"/>
      <c r="AM190" s="406"/>
      <c r="AN190" s="406"/>
      <c r="AO190" s="406"/>
      <c r="AP190" s="406"/>
      <c r="AQ190" s="406"/>
    </row>
    <row r="191" spans="1:43" s="407" customFormat="1" ht="12.75" x14ac:dyDescent="0.2">
      <c r="A191" s="406"/>
      <c r="B191" s="14" t="str">
        <f>IF(Tabla1[[#This Row],[Código_Actividad]]="","",CONCATENATE(Tabla1[[#This Row],[POA]],".",Tabla1[[#This Row],[SRS]],".",Tabla1[[#This Row],[AREA]],".",Tabla1[[#This Row],[TIPO]]))</f>
        <v/>
      </c>
      <c r="C191" s="14"/>
      <c r="D191" s="14"/>
      <c r="E191" s="14"/>
      <c r="F191" s="14"/>
      <c r="G191" s="265"/>
      <c r="H191" s="266" t="s">
        <v>539</v>
      </c>
      <c r="I191" s="266" t="s">
        <v>540</v>
      </c>
      <c r="J191" s="265">
        <v>1</v>
      </c>
      <c r="K191" s="268">
        <v>120</v>
      </c>
      <c r="L191" s="268">
        <f>+Tabla1[[#This Row],[Precio Unitario]]*Tabla1[[#This Row],[Cantidad de Insumos]]</f>
        <v>120</v>
      </c>
      <c r="M191" s="269" t="s">
        <v>529</v>
      </c>
      <c r="N191" s="266" t="s">
        <v>66</v>
      </c>
      <c r="O191" s="406"/>
      <c r="P191" s="406"/>
      <c r="Q191" s="406"/>
      <c r="R191" s="406"/>
      <c r="S191" s="406"/>
      <c r="T191" s="406"/>
      <c r="U191" s="406"/>
      <c r="V191" s="406"/>
      <c r="W191" s="406"/>
      <c r="X191" s="406"/>
      <c r="Y191" s="406"/>
      <c r="Z191" s="406"/>
      <c r="AA191" s="406"/>
      <c r="AB191" s="406"/>
      <c r="AC191" s="406"/>
      <c r="AD191" s="406"/>
      <c r="AE191" s="406"/>
      <c r="AF191" s="406"/>
      <c r="AG191" s="406"/>
      <c r="AH191" s="406"/>
      <c r="AI191" s="406"/>
      <c r="AJ191" s="406"/>
      <c r="AK191" s="406"/>
      <c r="AL191" s="406"/>
      <c r="AM191" s="406"/>
      <c r="AN191" s="406"/>
      <c r="AO191" s="406"/>
      <c r="AP191" s="406"/>
      <c r="AQ191" s="406"/>
    </row>
    <row r="192" spans="1:43" s="407" customFormat="1" ht="12.75" x14ac:dyDescent="0.2">
      <c r="A192" s="406"/>
      <c r="B192" s="14" t="str">
        <f>IF(Tabla1[[#This Row],[Código_Actividad]]="","",CONCATENATE(Tabla1[[#This Row],[POA]],".",Tabla1[[#This Row],[SRS]],".",Tabla1[[#This Row],[AREA]],".",Tabla1[[#This Row],[TIPO]]))</f>
        <v/>
      </c>
      <c r="C192" s="14"/>
      <c r="D192" s="14"/>
      <c r="E192" s="14"/>
      <c r="F192" s="14"/>
      <c r="G192" s="265"/>
      <c r="H192" s="266" t="s">
        <v>541</v>
      </c>
      <c r="I192" s="266" t="s">
        <v>526</v>
      </c>
      <c r="J192" s="265">
        <v>1</v>
      </c>
      <c r="K192" s="268">
        <v>4500</v>
      </c>
      <c r="L192" s="268">
        <f>+Tabla1[[#This Row],[Precio Unitario]]*Tabla1[[#This Row],[Cantidad de Insumos]]</f>
        <v>4500</v>
      </c>
      <c r="M192" s="269" t="s">
        <v>542</v>
      </c>
      <c r="N192" s="266" t="s">
        <v>66</v>
      </c>
      <c r="O192" s="406"/>
      <c r="P192" s="406"/>
      <c r="Q192" s="406"/>
      <c r="R192" s="406"/>
      <c r="S192" s="406"/>
      <c r="T192" s="406"/>
      <c r="U192" s="406"/>
      <c r="V192" s="406"/>
      <c r="W192" s="406"/>
      <c r="X192" s="406"/>
      <c r="Y192" s="406"/>
      <c r="Z192" s="406"/>
      <c r="AA192" s="406"/>
      <c r="AB192" s="406"/>
      <c r="AC192" s="406"/>
      <c r="AD192" s="406"/>
      <c r="AE192" s="406"/>
      <c r="AF192" s="406"/>
      <c r="AG192" s="406"/>
      <c r="AH192" s="406"/>
      <c r="AI192" s="406"/>
      <c r="AJ192" s="406"/>
      <c r="AK192" s="406"/>
      <c r="AL192" s="406"/>
      <c r="AM192" s="406"/>
      <c r="AN192" s="406"/>
      <c r="AO192" s="406"/>
      <c r="AP192" s="406"/>
      <c r="AQ192" s="406"/>
    </row>
    <row r="193" spans="1:43" s="407" customFormat="1" ht="12.75" x14ac:dyDescent="0.2">
      <c r="A193" s="406"/>
      <c r="B193" s="14" t="str">
        <f>IF(Tabla1[[#This Row],[Código_Actividad]]="","",CONCATENATE(Tabla1[[#This Row],[POA]],".",Tabla1[[#This Row],[SRS]],".",Tabla1[[#This Row],[AREA]],".",Tabla1[[#This Row],[TIPO]]))</f>
        <v/>
      </c>
      <c r="C193" s="14"/>
      <c r="D193" s="14"/>
      <c r="E193" s="14"/>
      <c r="F193" s="14"/>
      <c r="G193" s="265"/>
      <c r="H193" s="266" t="s">
        <v>530</v>
      </c>
      <c r="I193" s="405" t="s">
        <v>526</v>
      </c>
      <c r="J193" s="265">
        <v>4</v>
      </c>
      <c r="K193" s="268">
        <v>30</v>
      </c>
      <c r="L193" s="268">
        <f>+Tabla1[[#This Row],[Precio Unitario]]*Tabla1[[#This Row],[Cantidad de Insumos]]</f>
        <v>120</v>
      </c>
      <c r="M193" s="269" t="s">
        <v>529</v>
      </c>
      <c r="N193" s="266" t="s">
        <v>66</v>
      </c>
      <c r="O193" s="406"/>
      <c r="P193" s="406"/>
      <c r="Q193" s="406"/>
      <c r="R193" s="406"/>
      <c r="S193" s="406"/>
      <c r="T193" s="406"/>
      <c r="U193" s="406"/>
      <c r="V193" s="406"/>
      <c r="W193" s="406"/>
      <c r="X193" s="406"/>
      <c r="Y193" s="406"/>
      <c r="Z193" s="406"/>
      <c r="AA193" s="406"/>
      <c r="AB193" s="406"/>
      <c r="AC193" s="406"/>
      <c r="AD193" s="406"/>
      <c r="AE193" s="406"/>
      <c r="AF193" s="406"/>
      <c r="AG193" s="406"/>
      <c r="AH193" s="406"/>
      <c r="AI193" s="406"/>
      <c r="AJ193" s="406"/>
      <c r="AK193" s="406"/>
      <c r="AL193" s="406"/>
      <c r="AM193" s="406"/>
      <c r="AN193" s="406"/>
      <c r="AO193" s="406"/>
      <c r="AP193" s="406"/>
      <c r="AQ193" s="406"/>
    </row>
    <row r="194" spans="1:43" s="407" customFormat="1" ht="12.75" x14ac:dyDescent="0.2">
      <c r="A194" s="406"/>
      <c r="B194" s="14" t="str">
        <f>IF(Tabla1[[#This Row],[Código_Actividad]]="","",CONCATENATE(Tabla1[[#This Row],[POA]],".",Tabla1[[#This Row],[SRS]],".",Tabla1[[#This Row],[AREA]],".",Tabla1[[#This Row],[TIPO]]))</f>
        <v/>
      </c>
      <c r="C194" s="14"/>
      <c r="D194" s="14"/>
      <c r="E194" s="14"/>
      <c r="F194" s="14"/>
      <c r="G194" s="265"/>
      <c r="H194" s="266" t="s">
        <v>531</v>
      </c>
      <c r="I194" s="405" t="s">
        <v>532</v>
      </c>
      <c r="J194" s="265">
        <v>1</v>
      </c>
      <c r="K194" s="268">
        <v>150</v>
      </c>
      <c r="L194" s="268">
        <f>+Tabla1[[#This Row],[Precio Unitario]]*Tabla1[[#This Row],[Cantidad de Insumos]]</f>
        <v>150</v>
      </c>
      <c r="M194" s="269" t="s">
        <v>533</v>
      </c>
      <c r="N194" s="266" t="s">
        <v>66</v>
      </c>
      <c r="O194" s="406"/>
      <c r="P194" s="406"/>
      <c r="Q194" s="406"/>
      <c r="R194" s="406"/>
      <c r="S194" s="406"/>
      <c r="T194" s="406"/>
      <c r="U194" s="406"/>
      <c r="V194" s="406"/>
      <c r="W194" s="406"/>
      <c r="X194" s="406"/>
      <c r="Y194" s="406"/>
      <c r="Z194" s="406"/>
      <c r="AA194" s="406"/>
      <c r="AB194" s="406"/>
      <c r="AC194" s="406"/>
      <c r="AD194" s="406"/>
      <c r="AE194" s="406"/>
      <c r="AF194" s="406"/>
      <c r="AG194" s="406"/>
      <c r="AH194" s="406"/>
      <c r="AI194" s="406"/>
      <c r="AJ194" s="406"/>
      <c r="AK194" s="406"/>
      <c r="AL194" s="406"/>
      <c r="AM194" s="406"/>
      <c r="AN194" s="406"/>
      <c r="AO194" s="406"/>
      <c r="AP194" s="406"/>
      <c r="AQ194" s="406"/>
    </row>
    <row r="195" spans="1:43" s="407" customFormat="1" ht="12.75" x14ac:dyDescent="0.2">
      <c r="A195" s="406"/>
      <c r="B195" s="14" t="str">
        <f>IF(Tabla1[[#This Row],[Código_Actividad]]="","",CONCATENATE(Tabla1[[#This Row],[POA]],".",Tabla1[[#This Row],[SRS]],".",Tabla1[[#This Row],[AREA]],".",Tabla1[[#This Row],[TIPO]]))</f>
        <v/>
      </c>
      <c r="C195" s="14"/>
      <c r="D195" s="14"/>
      <c r="E195" s="14"/>
      <c r="F195" s="14"/>
      <c r="G195" s="265"/>
      <c r="H195" s="266" t="s">
        <v>543</v>
      </c>
      <c r="I195" s="266" t="s">
        <v>540</v>
      </c>
      <c r="J195" s="265">
        <v>1</v>
      </c>
      <c r="K195" s="268">
        <v>600</v>
      </c>
      <c r="L195" s="268">
        <f>+Tabla1[[#This Row],[Precio Unitario]]*Tabla1[[#This Row],[Cantidad de Insumos]]</f>
        <v>600</v>
      </c>
      <c r="M195" s="269" t="s">
        <v>529</v>
      </c>
      <c r="N195" s="266" t="s">
        <v>66</v>
      </c>
      <c r="O195" s="406"/>
      <c r="P195" s="406"/>
      <c r="Q195" s="406"/>
      <c r="R195" s="406"/>
      <c r="S195" s="406"/>
      <c r="T195" s="406"/>
      <c r="U195" s="406"/>
      <c r="V195" s="406"/>
      <c r="W195" s="406"/>
      <c r="X195" s="406"/>
      <c r="Y195" s="406"/>
      <c r="Z195" s="406"/>
      <c r="AA195" s="406"/>
      <c r="AB195" s="406"/>
      <c r="AC195" s="406"/>
      <c r="AD195" s="406"/>
      <c r="AE195" s="406"/>
      <c r="AF195" s="406"/>
      <c r="AG195" s="406"/>
      <c r="AH195" s="406"/>
      <c r="AI195" s="406"/>
      <c r="AJ195" s="406"/>
      <c r="AK195" s="406"/>
      <c r="AL195" s="406"/>
      <c r="AM195" s="406"/>
      <c r="AN195" s="406"/>
      <c r="AO195" s="406"/>
      <c r="AP195" s="406"/>
      <c r="AQ195" s="406"/>
    </row>
    <row r="196" spans="1:43" s="407" customFormat="1" ht="12.75" x14ac:dyDescent="0.2">
      <c r="A196" s="406"/>
      <c r="B196" s="14" t="str">
        <f>IF(Tabla1[[#This Row],[Código_Actividad]]="","",CONCATENATE(Tabla1[[#This Row],[POA]],".",Tabla1[[#This Row],[SRS]],".",Tabla1[[#This Row],[AREA]],".",Tabla1[[#This Row],[TIPO]]))</f>
        <v/>
      </c>
      <c r="C196" s="14"/>
      <c r="D196" s="14"/>
      <c r="E196" s="14"/>
      <c r="F196" s="14"/>
      <c r="G196" s="265"/>
      <c r="H196" s="266" t="s">
        <v>544</v>
      </c>
      <c r="I196" s="266" t="s">
        <v>540</v>
      </c>
      <c r="J196" s="265">
        <v>1</v>
      </c>
      <c r="K196" s="268">
        <v>1200</v>
      </c>
      <c r="L196" s="268">
        <f>+Tabla1[[#This Row],[Precio Unitario]]*Tabla1[[#This Row],[Cantidad de Insumos]]</f>
        <v>1200</v>
      </c>
      <c r="M196" s="269" t="s">
        <v>545</v>
      </c>
      <c r="N196" s="266" t="s">
        <v>66</v>
      </c>
      <c r="O196" s="406"/>
      <c r="P196" s="406"/>
      <c r="Q196" s="406"/>
      <c r="R196" s="406"/>
      <c r="S196" s="406"/>
      <c r="T196" s="406"/>
      <c r="U196" s="406"/>
      <c r="V196" s="406"/>
      <c r="W196" s="406"/>
      <c r="X196" s="406"/>
      <c r="Y196" s="406"/>
      <c r="Z196" s="406"/>
      <c r="AA196" s="406"/>
      <c r="AB196" s="406"/>
      <c r="AC196" s="406"/>
      <c r="AD196" s="406"/>
      <c r="AE196" s="406"/>
      <c r="AF196" s="406"/>
      <c r="AG196" s="406"/>
      <c r="AH196" s="406"/>
      <c r="AI196" s="406"/>
      <c r="AJ196" s="406"/>
      <c r="AK196" s="406"/>
      <c r="AL196" s="406"/>
      <c r="AM196" s="406"/>
      <c r="AN196" s="406"/>
      <c r="AO196" s="406"/>
      <c r="AP196" s="406"/>
      <c r="AQ196" s="406"/>
    </row>
    <row r="197" spans="1:43" s="407" customFormat="1" ht="12.75" x14ac:dyDescent="0.2">
      <c r="A197" s="406"/>
      <c r="B197" s="14" t="str">
        <f>IF(Tabla1[[#This Row],[Código_Actividad]]="","",CONCATENATE(Tabla1[[#This Row],[POA]],".",Tabla1[[#This Row],[SRS]],".",Tabla1[[#This Row],[AREA]],".",Tabla1[[#This Row],[TIPO]]))</f>
        <v/>
      </c>
      <c r="C197" s="14"/>
      <c r="D197" s="14"/>
      <c r="E197" s="14"/>
      <c r="F197" s="14"/>
      <c r="G197" s="265"/>
      <c r="H197" s="266" t="s">
        <v>546</v>
      </c>
      <c r="I197" s="266" t="s">
        <v>526</v>
      </c>
      <c r="J197" s="265">
        <v>1</v>
      </c>
      <c r="K197" s="268">
        <v>100</v>
      </c>
      <c r="L197" s="268">
        <f>+Tabla1[[#This Row],[Precio Unitario]]*Tabla1[[#This Row],[Cantidad de Insumos]]</f>
        <v>100</v>
      </c>
      <c r="M197" s="269" t="s">
        <v>529</v>
      </c>
      <c r="N197" s="266" t="s">
        <v>508</v>
      </c>
      <c r="O197" s="406"/>
      <c r="P197" s="406"/>
      <c r="Q197" s="406"/>
      <c r="R197" s="406"/>
      <c r="S197" s="406"/>
      <c r="T197" s="406"/>
      <c r="U197" s="406"/>
      <c r="V197" s="406"/>
      <c r="W197" s="406"/>
      <c r="X197" s="406"/>
      <c r="Y197" s="406"/>
      <c r="Z197" s="406"/>
      <c r="AA197" s="406"/>
      <c r="AB197" s="406"/>
      <c r="AC197" s="406"/>
      <c r="AD197" s="406"/>
      <c r="AE197" s="406"/>
      <c r="AF197" s="406"/>
      <c r="AG197" s="406"/>
      <c r="AH197" s="406"/>
      <c r="AI197" s="406"/>
      <c r="AJ197" s="406"/>
      <c r="AK197" s="406"/>
      <c r="AL197" s="406"/>
      <c r="AM197" s="406"/>
      <c r="AN197" s="406"/>
      <c r="AO197" s="406"/>
      <c r="AP197" s="406"/>
      <c r="AQ197" s="406"/>
    </row>
    <row r="198" spans="1:43" s="407" customFormat="1" ht="12.75" x14ac:dyDescent="0.2">
      <c r="A198" s="406"/>
      <c r="B198" s="14" t="str">
        <f>IF(Tabla1[[#This Row],[Código_Actividad]]="","",CONCATENATE(Tabla1[[#This Row],[POA]],".",Tabla1[[#This Row],[SRS]],".",Tabla1[[#This Row],[AREA]],".",Tabla1[[#This Row],[TIPO]]))</f>
        <v>...</v>
      </c>
      <c r="C198" s="14" t="s">
        <v>523</v>
      </c>
      <c r="D198" s="14" t="s">
        <v>523</v>
      </c>
      <c r="E198" s="14" t="s">
        <v>523</v>
      </c>
      <c r="F198" s="14" t="s">
        <v>523</v>
      </c>
      <c r="G198" s="265" t="s">
        <v>296</v>
      </c>
      <c r="H198" s="266" t="s">
        <v>525</v>
      </c>
      <c r="I198" s="266" t="s">
        <v>526</v>
      </c>
      <c r="J198" s="265">
        <v>1</v>
      </c>
      <c r="K198" s="267">
        <v>35000</v>
      </c>
      <c r="L198" s="268">
        <f>+Tabla1[[#This Row],[Precio Unitario]]*Tabla1[[#This Row],[Cantidad de Insumos]]</f>
        <v>35000</v>
      </c>
      <c r="M198" s="269" t="s">
        <v>527</v>
      </c>
      <c r="N198" s="266" t="s">
        <v>508</v>
      </c>
      <c r="O198" s="406"/>
      <c r="P198" s="406"/>
      <c r="Q198" s="406"/>
      <c r="R198" s="406"/>
      <c r="S198" s="406"/>
      <c r="T198" s="406"/>
      <c r="U198" s="406"/>
      <c r="V198" s="406"/>
      <c r="W198" s="406"/>
      <c r="X198" s="406"/>
      <c r="Y198" s="406"/>
      <c r="Z198" s="406"/>
      <c r="AA198" s="406"/>
      <c r="AB198" s="406"/>
      <c r="AC198" s="406"/>
      <c r="AD198" s="406"/>
      <c r="AE198" s="406"/>
      <c r="AF198" s="406"/>
      <c r="AG198" s="406"/>
      <c r="AH198" s="406"/>
      <c r="AI198" s="406"/>
      <c r="AJ198" s="406"/>
      <c r="AK198" s="406"/>
      <c r="AL198" s="406"/>
      <c r="AM198" s="406"/>
      <c r="AN198" s="406"/>
      <c r="AO198" s="406"/>
      <c r="AP198" s="406"/>
      <c r="AQ198" s="406"/>
    </row>
    <row r="199" spans="1:43" s="407" customFormat="1" ht="12.75" x14ac:dyDescent="0.2">
      <c r="A199" s="406"/>
      <c r="B199" s="14" t="str">
        <f>IF(Tabla1[[#This Row],[Código_Actividad]]="","",CONCATENATE(Tabla1[[#This Row],[POA]],".",Tabla1[[#This Row],[SRS]],".",Tabla1[[#This Row],[AREA]],".",Tabla1[[#This Row],[TIPO]]))</f>
        <v/>
      </c>
      <c r="C199" s="14"/>
      <c r="D199" s="14"/>
      <c r="E199" s="14"/>
      <c r="F199" s="14"/>
      <c r="G199" s="265"/>
      <c r="H199" s="266" t="s">
        <v>547</v>
      </c>
      <c r="I199" s="266" t="s">
        <v>526</v>
      </c>
      <c r="J199" s="265">
        <v>1</v>
      </c>
      <c r="K199" s="268">
        <v>60000</v>
      </c>
      <c r="L199" s="268">
        <f>+Tabla1[[#This Row],[Precio Unitario]]*Tabla1[[#This Row],[Cantidad de Insumos]]</f>
        <v>60000</v>
      </c>
      <c r="M199" s="269" t="s">
        <v>527</v>
      </c>
      <c r="N199" s="266" t="s">
        <v>508</v>
      </c>
      <c r="O199" s="406"/>
      <c r="P199" s="406"/>
      <c r="Q199" s="406"/>
      <c r="R199" s="406"/>
      <c r="S199" s="406"/>
      <c r="T199" s="406"/>
      <c r="U199" s="406"/>
      <c r="V199" s="406"/>
      <c r="W199" s="406"/>
      <c r="X199" s="406"/>
      <c r="Y199" s="406"/>
      <c r="Z199" s="406"/>
      <c r="AA199" s="406"/>
      <c r="AB199" s="406"/>
      <c r="AC199" s="406"/>
      <c r="AD199" s="406"/>
      <c r="AE199" s="406"/>
      <c r="AF199" s="406"/>
      <c r="AG199" s="406"/>
      <c r="AH199" s="406"/>
      <c r="AI199" s="406"/>
      <c r="AJ199" s="406"/>
      <c r="AK199" s="406"/>
      <c r="AL199" s="406"/>
      <c r="AM199" s="406"/>
      <c r="AN199" s="406"/>
      <c r="AO199" s="406"/>
      <c r="AP199" s="406"/>
      <c r="AQ199" s="406"/>
    </row>
    <row r="200" spans="1:43" s="407" customFormat="1" ht="12.75" x14ac:dyDescent="0.2">
      <c r="A200" s="406"/>
      <c r="B200" s="14" t="str">
        <f>IF(Tabla1[[#This Row],[Código_Actividad]]="","",CONCATENATE(Tabla1[[#This Row],[POA]],".",Tabla1[[#This Row],[SRS]],".",Tabla1[[#This Row],[AREA]],".",Tabla1[[#This Row],[TIPO]]))</f>
        <v/>
      </c>
      <c r="C200" s="14"/>
      <c r="D200" s="14"/>
      <c r="E200" s="14"/>
      <c r="F200" s="14"/>
      <c r="G200" s="265"/>
      <c r="H200" s="266" t="s">
        <v>534</v>
      </c>
      <c r="I200" s="266" t="s">
        <v>526</v>
      </c>
      <c r="J200" s="265">
        <v>1</v>
      </c>
      <c r="K200" s="268">
        <v>1400</v>
      </c>
      <c r="L200" s="268">
        <f>+Tabla1[[#This Row],[Precio Unitario]]*Tabla1[[#This Row],[Cantidad de Insumos]]</f>
        <v>1400</v>
      </c>
      <c r="M200" s="269" t="s">
        <v>529</v>
      </c>
      <c r="N200" s="266" t="s">
        <v>66</v>
      </c>
      <c r="O200" s="406"/>
      <c r="P200" s="406"/>
      <c r="Q200" s="406"/>
      <c r="R200" s="406"/>
      <c r="S200" s="406"/>
      <c r="T200" s="406"/>
      <c r="U200" s="406"/>
      <c r="V200" s="406"/>
      <c r="W200" s="406"/>
      <c r="X200" s="406"/>
      <c r="Y200" s="406"/>
      <c r="Z200" s="406"/>
      <c r="AA200" s="406"/>
      <c r="AB200" s="406"/>
      <c r="AC200" s="406"/>
      <c r="AD200" s="406"/>
      <c r="AE200" s="406"/>
      <c r="AF200" s="406"/>
      <c r="AG200" s="406"/>
      <c r="AH200" s="406"/>
      <c r="AI200" s="406"/>
      <c r="AJ200" s="406"/>
      <c r="AK200" s="406"/>
      <c r="AL200" s="406"/>
      <c r="AM200" s="406"/>
      <c r="AN200" s="406"/>
      <c r="AO200" s="406"/>
      <c r="AP200" s="406"/>
      <c r="AQ200" s="406"/>
    </row>
    <row r="201" spans="1:43" s="407" customFormat="1" ht="12.75" x14ac:dyDescent="0.2">
      <c r="A201" s="406"/>
      <c r="B201" s="14" t="str">
        <f>IF(Tabla1[[#This Row],[Código_Actividad]]="","",CONCATENATE(Tabla1[[#This Row],[POA]],".",Tabla1[[#This Row],[SRS]],".",Tabla1[[#This Row],[AREA]],".",Tabla1[[#This Row],[TIPO]]))</f>
        <v/>
      </c>
      <c r="C201" s="14"/>
      <c r="D201" s="14"/>
      <c r="E201" s="14"/>
      <c r="F201" s="14"/>
      <c r="G201" s="265"/>
      <c r="H201" s="266" t="s">
        <v>535</v>
      </c>
      <c r="I201" s="266" t="s">
        <v>536</v>
      </c>
      <c r="J201" s="265">
        <v>1</v>
      </c>
      <c r="K201" s="268">
        <v>500</v>
      </c>
      <c r="L201" s="268">
        <f>+Tabla1[[#This Row],[Precio Unitario]]*Tabla1[[#This Row],[Cantidad de Insumos]]</f>
        <v>500</v>
      </c>
      <c r="M201" s="269" t="s">
        <v>533</v>
      </c>
      <c r="N201" s="266" t="s">
        <v>66</v>
      </c>
      <c r="O201" s="406"/>
      <c r="P201" s="406"/>
      <c r="Q201" s="406"/>
      <c r="R201" s="406"/>
      <c r="S201" s="406"/>
      <c r="T201" s="406"/>
      <c r="U201" s="406"/>
      <c r="V201" s="406"/>
      <c r="W201" s="406"/>
      <c r="X201" s="406"/>
      <c r="Y201" s="406"/>
      <c r="Z201" s="406"/>
      <c r="AA201" s="406"/>
      <c r="AB201" s="406"/>
      <c r="AC201" s="406"/>
      <c r="AD201" s="406"/>
      <c r="AE201" s="406"/>
      <c r="AF201" s="406"/>
      <c r="AG201" s="406"/>
      <c r="AH201" s="406"/>
      <c r="AI201" s="406"/>
      <c r="AJ201" s="406"/>
      <c r="AK201" s="406"/>
      <c r="AL201" s="406"/>
      <c r="AM201" s="406"/>
      <c r="AN201" s="406"/>
      <c r="AO201" s="406"/>
      <c r="AP201" s="406"/>
      <c r="AQ201" s="406"/>
    </row>
    <row r="202" spans="1:43" s="407" customFormat="1" ht="12.75" x14ac:dyDescent="0.2">
      <c r="A202" s="406"/>
      <c r="B202" s="14" t="str">
        <f>IF(Tabla1[[#This Row],[Código_Actividad]]="","",CONCATENATE(Tabla1[[#This Row],[POA]],".",Tabla1[[#This Row],[SRS]],".",Tabla1[[#This Row],[AREA]],".",Tabla1[[#This Row],[TIPO]]))</f>
        <v/>
      </c>
      <c r="C202" s="14"/>
      <c r="D202" s="14"/>
      <c r="E202" s="14"/>
      <c r="F202" s="14"/>
      <c r="G202" s="265"/>
      <c r="H202" s="266" t="s">
        <v>537</v>
      </c>
      <c r="I202" s="266" t="s">
        <v>526</v>
      </c>
      <c r="J202" s="265">
        <v>1</v>
      </c>
      <c r="K202" s="268">
        <v>180</v>
      </c>
      <c r="L202" s="268">
        <f>+Tabla1[[#This Row],[Precio Unitario]]*Tabla1[[#This Row],[Cantidad de Insumos]]</f>
        <v>180</v>
      </c>
      <c r="M202" s="269" t="s">
        <v>538</v>
      </c>
      <c r="N202" s="266" t="s">
        <v>66</v>
      </c>
      <c r="O202" s="406"/>
      <c r="P202" s="406"/>
      <c r="Q202" s="406"/>
      <c r="R202" s="406"/>
      <c r="S202" s="406"/>
      <c r="T202" s="406"/>
      <c r="U202" s="406"/>
      <c r="V202" s="406"/>
      <c r="W202" s="406"/>
      <c r="X202" s="406"/>
      <c r="Y202" s="406"/>
      <c r="Z202" s="406"/>
      <c r="AA202" s="406"/>
      <c r="AB202" s="406"/>
      <c r="AC202" s="406"/>
      <c r="AD202" s="406"/>
      <c r="AE202" s="406"/>
      <c r="AF202" s="406"/>
      <c r="AG202" s="406"/>
      <c r="AH202" s="406"/>
      <c r="AI202" s="406"/>
      <c r="AJ202" s="406"/>
      <c r="AK202" s="406"/>
      <c r="AL202" s="406"/>
      <c r="AM202" s="406"/>
      <c r="AN202" s="406"/>
      <c r="AO202" s="406"/>
      <c r="AP202" s="406"/>
      <c r="AQ202" s="406"/>
    </row>
    <row r="203" spans="1:43" s="407" customFormat="1" ht="12.75" x14ac:dyDescent="0.2">
      <c r="A203" s="406"/>
      <c r="B203" s="14" t="str">
        <f>IF(Tabla1[[#This Row],[Código_Actividad]]="","",CONCATENATE(Tabla1[[#This Row],[POA]],".",Tabla1[[#This Row],[SRS]],".",Tabla1[[#This Row],[AREA]],".",Tabla1[[#This Row],[TIPO]]))</f>
        <v/>
      </c>
      <c r="C203" s="14"/>
      <c r="D203" s="14"/>
      <c r="E203" s="14"/>
      <c r="F203" s="14"/>
      <c r="G203" s="265"/>
      <c r="H203" s="266" t="s">
        <v>539</v>
      </c>
      <c r="I203" s="266" t="s">
        <v>540</v>
      </c>
      <c r="J203" s="265">
        <v>1</v>
      </c>
      <c r="K203" s="268">
        <v>120</v>
      </c>
      <c r="L203" s="268">
        <f>+Tabla1[[#This Row],[Precio Unitario]]*Tabla1[[#This Row],[Cantidad de Insumos]]</f>
        <v>120</v>
      </c>
      <c r="M203" s="269" t="s">
        <v>529</v>
      </c>
      <c r="N203" s="266" t="s">
        <v>66</v>
      </c>
      <c r="O203" s="406"/>
      <c r="P203" s="406"/>
      <c r="Q203" s="406"/>
      <c r="R203" s="406"/>
      <c r="S203" s="406"/>
      <c r="T203" s="406"/>
      <c r="U203" s="406"/>
      <c r="V203" s="406"/>
      <c r="W203" s="406"/>
      <c r="X203" s="406"/>
      <c r="Y203" s="406"/>
      <c r="Z203" s="406"/>
      <c r="AA203" s="406"/>
      <c r="AB203" s="406"/>
      <c r="AC203" s="406"/>
      <c r="AD203" s="406"/>
      <c r="AE203" s="406"/>
      <c r="AF203" s="406"/>
      <c r="AG203" s="406"/>
      <c r="AH203" s="406"/>
      <c r="AI203" s="406"/>
      <c r="AJ203" s="406"/>
      <c r="AK203" s="406"/>
      <c r="AL203" s="406"/>
      <c r="AM203" s="406"/>
      <c r="AN203" s="406"/>
      <c r="AO203" s="406"/>
      <c r="AP203" s="406"/>
      <c r="AQ203" s="406"/>
    </row>
    <row r="204" spans="1:43" s="407" customFormat="1" ht="12.75" x14ac:dyDescent="0.2">
      <c r="A204" s="406"/>
      <c r="B204" s="14" t="str">
        <f>IF(Tabla1[[#This Row],[Código_Actividad]]="","",CONCATENATE(Tabla1[[#This Row],[POA]],".",Tabla1[[#This Row],[SRS]],".",Tabla1[[#This Row],[AREA]],".",Tabla1[[#This Row],[TIPO]]))</f>
        <v/>
      </c>
      <c r="C204" s="14"/>
      <c r="D204" s="14"/>
      <c r="E204" s="14"/>
      <c r="F204" s="14"/>
      <c r="G204" s="265"/>
      <c r="H204" s="266" t="s">
        <v>541</v>
      </c>
      <c r="I204" s="266" t="s">
        <v>526</v>
      </c>
      <c r="J204" s="265">
        <v>1</v>
      </c>
      <c r="K204" s="268">
        <v>4500</v>
      </c>
      <c r="L204" s="268">
        <f>+Tabla1[[#This Row],[Precio Unitario]]*Tabla1[[#This Row],[Cantidad de Insumos]]</f>
        <v>4500</v>
      </c>
      <c r="M204" s="269" t="s">
        <v>542</v>
      </c>
      <c r="N204" s="266" t="s">
        <v>66</v>
      </c>
      <c r="O204" s="406"/>
      <c r="P204" s="406"/>
      <c r="Q204" s="406"/>
      <c r="R204" s="406"/>
      <c r="S204" s="406"/>
      <c r="T204" s="406"/>
      <c r="U204" s="406"/>
      <c r="V204" s="406"/>
      <c r="W204" s="406"/>
      <c r="X204" s="406"/>
      <c r="Y204" s="406"/>
      <c r="Z204" s="406"/>
      <c r="AA204" s="406"/>
      <c r="AB204" s="406"/>
      <c r="AC204" s="406"/>
      <c r="AD204" s="406"/>
      <c r="AE204" s="406"/>
      <c r="AF204" s="406"/>
      <c r="AG204" s="406"/>
      <c r="AH204" s="406"/>
      <c r="AI204" s="406"/>
      <c r="AJ204" s="406"/>
      <c r="AK204" s="406"/>
      <c r="AL204" s="406"/>
      <c r="AM204" s="406"/>
      <c r="AN204" s="406"/>
      <c r="AO204" s="406"/>
      <c r="AP204" s="406"/>
      <c r="AQ204" s="406"/>
    </row>
    <row r="205" spans="1:43" s="407" customFormat="1" ht="12.75" x14ac:dyDescent="0.2">
      <c r="A205" s="406"/>
      <c r="B205" s="14" t="str">
        <f>IF(Tabla1[[#This Row],[Código_Actividad]]="","",CONCATENATE(Tabla1[[#This Row],[POA]],".",Tabla1[[#This Row],[SRS]],".",Tabla1[[#This Row],[AREA]],".",Tabla1[[#This Row],[TIPO]]))</f>
        <v/>
      </c>
      <c r="C205" s="14"/>
      <c r="D205" s="14"/>
      <c r="E205" s="14"/>
      <c r="F205" s="14"/>
      <c r="G205" s="265"/>
      <c r="H205" s="266" t="s">
        <v>530</v>
      </c>
      <c r="I205" s="405" t="s">
        <v>526</v>
      </c>
      <c r="J205" s="265">
        <v>4</v>
      </c>
      <c r="K205" s="268">
        <v>30</v>
      </c>
      <c r="L205" s="268">
        <f>+Tabla1[[#This Row],[Precio Unitario]]*Tabla1[[#This Row],[Cantidad de Insumos]]</f>
        <v>120</v>
      </c>
      <c r="M205" s="269" t="s">
        <v>529</v>
      </c>
      <c r="N205" s="266" t="s">
        <v>66</v>
      </c>
      <c r="O205" s="406"/>
      <c r="P205" s="406"/>
      <c r="Q205" s="406"/>
      <c r="R205" s="406"/>
      <c r="S205" s="406"/>
      <c r="T205" s="406"/>
      <c r="U205" s="406"/>
      <c r="V205" s="406"/>
      <c r="W205" s="406"/>
      <c r="X205" s="406"/>
      <c r="Y205" s="406"/>
      <c r="Z205" s="406"/>
      <c r="AA205" s="406"/>
      <c r="AB205" s="406"/>
      <c r="AC205" s="406"/>
      <c r="AD205" s="406"/>
      <c r="AE205" s="406"/>
      <c r="AF205" s="406"/>
      <c r="AG205" s="406"/>
      <c r="AH205" s="406"/>
      <c r="AI205" s="406"/>
      <c r="AJ205" s="406"/>
      <c r="AK205" s="406"/>
      <c r="AL205" s="406"/>
      <c r="AM205" s="406"/>
      <c r="AN205" s="406"/>
      <c r="AO205" s="406"/>
      <c r="AP205" s="406"/>
      <c r="AQ205" s="406"/>
    </row>
    <row r="206" spans="1:43" s="407" customFormat="1" ht="12.75" x14ac:dyDescent="0.2">
      <c r="A206" s="406"/>
      <c r="B206" s="14" t="str">
        <f>IF(Tabla1[[#This Row],[Código_Actividad]]="","",CONCATENATE(Tabla1[[#This Row],[POA]],".",Tabla1[[#This Row],[SRS]],".",Tabla1[[#This Row],[AREA]],".",Tabla1[[#This Row],[TIPO]]))</f>
        <v/>
      </c>
      <c r="C206" s="14"/>
      <c r="D206" s="14"/>
      <c r="E206" s="14"/>
      <c r="F206" s="14"/>
      <c r="G206" s="265"/>
      <c r="H206" s="266" t="s">
        <v>531</v>
      </c>
      <c r="I206" s="405" t="s">
        <v>532</v>
      </c>
      <c r="J206" s="265">
        <v>1</v>
      </c>
      <c r="K206" s="268">
        <v>150</v>
      </c>
      <c r="L206" s="268">
        <f>+Tabla1[[#This Row],[Precio Unitario]]*Tabla1[[#This Row],[Cantidad de Insumos]]</f>
        <v>150</v>
      </c>
      <c r="M206" s="269" t="s">
        <v>533</v>
      </c>
      <c r="N206" s="266" t="s">
        <v>66</v>
      </c>
      <c r="O206" s="406"/>
      <c r="P206" s="406"/>
      <c r="Q206" s="406"/>
      <c r="R206" s="406"/>
      <c r="S206" s="406"/>
      <c r="T206" s="406"/>
      <c r="U206" s="406"/>
      <c r="V206" s="406"/>
      <c r="W206" s="406"/>
      <c r="X206" s="406"/>
      <c r="Y206" s="406"/>
      <c r="Z206" s="406"/>
      <c r="AA206" s="406"/>
      <c r="AB206" s="406"/>
      <c r="AC206" s="406"/>
      <c r="AD206" s="406"/>
      <c r="AE206" s="406"/>
      <c r="AF206" s="406"/>
      <c r="AG206" s="406"/>
      <c r="AH206" s="406"/>
      <c r="AI206" s="406"/>
      <c r="AJ206" s="406"/>
      <c r="AK206" s="406"/>
      <c r="AL206" s="406"/>
      <c r="AM206" s="406"/>
      <c r="AN206" s="406"/>
      <c r="AO206" s="406"/>
      <c r="AP206" s="406"/>
      <c r="AQ206" s="406"/>
    </row>
    <row r="207" spans="1:43" s="407" customFormat="1" ht="12.75" x14ac:dyDescent="0.2">
      <c r="A207" s="406"/>
      <c r="B207" s="14" t="str">
        <f>IF(Tabla1[[#This Row],[Código_Actividad]]="","",CONCATENATE(Tabla1[[#This Row],[POA]],".",Tabla1[[#This Row],[SRS]],".",Tabla1[[#This Row],[AREA]],".",Tabla1[[#This Row],[TIPO]]))</f>
        <v/>
      </c>
      <c r="C207" s="14"/>
      <c r="D207" s="14"/>
      <c r="E207" s="14"/>
      <c r="F207" s="14"/>
      <c r="G207" s="265"/>
      <c r="H207" s="266" t="s">
        <v>543</v>
      </c>
      <c r="I207" s="266" t="s">
        <v>540</v>
      </c>
      <c r="J207" s="265">
        <v>1</v>
      </c>
      <c r="K207" s="268">
        <v>600</v>
      </c>
      <c r="L207" s="268">
        <f>+Tabla1[[#This Row],[Precio Unitario]]*Tabla1[[#This Row],[Cantidad de Insumos]]</f>
        <v>600</v>
      </c>
      <c r="M207" s="269" t="s">
        <v>529</v>
      </c>
      <c r="N207" s="266" t="s">
        <v>66</v>
      </c>
      <c r="O207" s="406"/>
      <c r="P207" s="406"/>
      <c r="Q207" s="406"/>
      <c r="R207" s="406"/>
      <c r="S207" s="406"/>
      <c r="T207" s="406"/>
      <c r="U207" s="406"/>
      <c r="V207" s="406"/>
      <c r="W207" s="406"/>
      <c r="X207" s="406"/>
      <c r="Y207" s="406"/>
      <c r="Z207" s="406"/>
      <c r="AA207" s="406"/>
      <c r="AB207" s="406"/>
      <c r="AC207" s="406"/>
      <c r="AD207" s="406"/>
      <c r="AE207" s="406"/>
      <c r="AF207" s="406"/>
      <c r="AG207" s="406"/>
      <c r="AH207" s="406"/>
      <c r="AI207" s="406"/>
      <c r="AJ207" s="406"/>
      <c r="AK207" s="406"/>
      <c r="AL207" s="406"/>
      <c r="AM207" s="406"/>
      <c r="AN207" s="406"/>
      <c r="AO207" s="406"/>
      <c r="AP207" s="406"/>
      <c r="AQ207" s="406"/>
    </row>
    <row r="208" spans="1:43" s="407" customFormat="1" ht="12.75" x14ac:dyDescent="0.2">
      <c r="A208" s="406"/>
      <c r="B208" s="14" t="str">
        <f>IF(Tabla1[[#This Row],[Código_Actividad]]="","",CONCATENATE(Tabla1[[#This Row],[POA]],".",Tabla1[[#This Row],[SRS]],".",Tabla1[[#This Row],[AREA]],".",Tabla1[[#This Row],[TIPO]]))</f>
        <v/>
      </c>
      <c r="C208" s="14"/>
      <c r="D208" s="14"/>
      <c r="E208" s="14"/>
      <c r="F208" s="14"/>
      <c r="G208" s="265"/>
      <c r="H208" s="266" t="s">
        <v>544</v>
      </c>
      <c r="I208" s="266" t="s">
        <v>540</v>
      </c>
      <c r="J208" s="265">
        <v>1</v>
      </c>
      <c r="K208" s="268">
        <v>1200</v>
      </c>
      <c r="L208" s="268">
        <f>+Tabla1[[#This Row],[Precio Unitario]]*Tabla1[[#This Row],[Cantidad de Insumos]]</f>
        <v>1200</v>
      </c>
      <c r="M208" s="269" t="s">
        <v>545</v>
      </c>
      <c r="N208" s="266" t="s">
        <v>66</v>
      </c>
      <c r="O208" s="406"/>
      <c r="P208" s="406"/>
      <c r="Q208" s="406"/>
      <c r="R208" s="406"/>
      <c r="S208" s="406"/>
      <c r="T208" s="406"/>
      <c r="U208" s="406"/>
      <c r="V208" s="406"/>
      <c r="W208" s="406"/>
      <c r="X208" s="406"/>
      <c r="Y208" s="406"/>
      <c r="Z208" s="406"/>
      <c r="AA208" s="406"/>
      <c r="AB208" s="406"/>
      <c r="AC208" s="406"/>
      <c r="AD208" s="406"/>
      <c r="AE208" s="406"/>
      <c r="AF208" s="406"/>
      <c r="AG208" s="406"/>
      <c r="AH208" s="406"/>
      <c r="AI208" s="406"/>
      <c r="AJ208" s="406"/>
      <c r="AK208" s="406"/>
      <c r="AL208" s="406"/>
      <c r="AM208" s="406"/>
      <c r="AN208" s="406"/>
      <c r="AO208" s="406"/>
      <c r="AP208" s="406"/>
      <c r="AQ208" s="406"/>
    </row>
    <row r="209" spans="1:43" s="407" customFormat="1" ht="12.75" x14ac:dyDescent="0.2">
      <c r="A209" s="406"/>
      <c r="B209" s="14" t="str">
        <f>IF(Tabla1[[#This Row],[Código_Actividad]]="","",CONCATENATE(Tabla1[[#This Row],[POA]],".",Tabla1[[#This Row],[SRS]],".",Tabla1[[#This Row],[AREA]],".",Tabla1[[#This Row],[TIPO]]))</f>
        <v/>
      </c>
      <c r="C209" s="14"/>
      <c r="D209" s="14"/>
      <c r="E209" s="14"/>
      <c r="F209" s="14"/>
      <c r="G209" s="265"/>
      <c r="H209" s="266" t="s">
        <v>546</v>
      </c>
      <c r="I209" s="266" t="s">
        <v>526</v>
      </c>
      <c r="J209" s="265">
        <v>1</v>
      </c>
      <c r="K209" s="268">
        <v>100</v>
      </c>
      <c r="L209" s="268">
        <f>+Tabla1[[#This Row],[Precio Unitario]]*Tabla1[[#This Row],[Cantidad de Insumos]]</f>
        <v>100</v>
      </c>
      <c r="M209" s="269" t="s">
        <v>529</v>
      </c>
      <c r="N209" s="266" t="s">
        <v>508</v>
      </c>
      <c r="O209" s="406"/>
      <c r="P209" s="406"/>
      <c r="Q209" s="406"/>
      <c r="R209" s="406"/>
      <c r="S209" s="406"/>
      <c r="T209" s="406"/>
      <c r="U209" s="406"/>
      <c r="V209" s="406"/>
      <c r="W209" s="406"/>
      <c r="X209" s="406"/>
      <c r="Y209" s="406"/>
      <c r="Z209" s="406"/>
      <c r="AA209" s="406"/>
      <c r="AB209" s="406"/>
      <c r="AC209" s="406"/>
      <c r="AD209" s="406"/>
      <c r="AE209" s="406"/>
      <c r="AF209" s="406"/>
      <c r="AG209" s="406"/>
      <c r="AH209" s="406"/>
      <c r="AI209" s="406"/>
      <c r="AJ209" s="406"/>
      <c r="AK209" s="406"/>
      <c r="AL209" s="406"/>
      <c r="AM209" s="406"/>
      <c r="AN209" s="406"/>
      <c r="AO209" s="406"/>
      <c r="AP209" s="406"/>
      <c r="AQ209" s="406"/>
    </row>
    <row r="210" spans="1:43" s="407" customFormat="1" ht="12.75" x14ac:dyDescent="0.2">
      <c r="A210" s="406"/>
      <c r="B210" s="14" t="str">
        <f>IF(Tabla1[[#This Row],[Código_Actividad]]="","",CONCATENATE(Tabla1[[#This Row],[POA]],".",Tabla1[[#This Row],[SRS]],".",Tabla1[[#This Row],[AREA]],".",Tabla1[[#This Row],[TIPO]]))</f>
        <v>...</v>
      </c>
      <c r="C210" s="14" t="s">
        <v>523</v>
      </c>
      <c r="D210" s="14" t="s">
        <v>523</v>
      </c>
      <c r="E210" s="14" t="s">
        <v>523</v>
      </c>
      <c r="F210" s="14" t="s">
        <v>523</v>
      </c>
      <c r="G210" s="265" t="s">
        <v>298</v>
      </c>
      <c r="H210" s="266" t="s">
        <v>525</v>
      </c>
      <c r="I210" s="266" t="s">
        <v>526</v>
      </c>
      <c r="J210" s="265">
        <v>1</v>
      </c>
      <c r="K210" s="267">
        <v>35000</v>
      </c>
      <c r="L210" s="268">
        <f>+Tabla1[[#This Row],[Precio Unitario]]*Tabla1[[#This Row],[Cantidad de Insumos]]</f>
        <v>35000</v>
      </c>
      <c r="M210" s="269" t="s">
        <v>527</v>
      </c>
      <c r="N210" s="266" t="s">
        <v>508</v>
      </c>
      <c r="O210" s="406"/>
      <c r="P210" s="406"/>
      <c r="Q210" s="406"/>
      <c r="R210" s="406"/>
      <c r="S210" s="406"/>
      <c r="T210" s="406"/>
      <c r="U210" s="406"/>
      <c r="V210" s="406"/>
      <c r="W210" s="406"/>
      <c r="X210" s="406"/>
      <c r="Y210" s="406"/>
      <c r="Z210" s="406"/>
      <c r="AA210" s="406"/>
      <c r="AB210" s="406"/>
      <c r="AC210" s="406"/>
      <c r="AD210" s="406"/>
      <c r="AE210" s="406"/>
      <c r="AF210" s="406"/>
      <c r="AG210" s="406"/>
      <c r="AH210" s="406"/>
      <c r="AI210" s="406"/>
      <c r="AJ210" s="406"/>
      <c r="AK210" s="406"/>
      <c r="AL210" s="406"/>
      <c r="AM210" s="406"/>
      <c r="AN210" s="406"/>
      <c r="AO210" s="406"/>
      <c r="AP210" s="406"/>
      <c r="AQ210" s="406"/>
    </row>
    <row r="211" spans="1:43" s="407" customFormat="1" ht="12.75" x14ac:dyDescent="0.2">
      <c r="A211" s="406"/>
      <c r="B211" s="14" t="str">
        <f>IF(Tabla1[[#This Row],[Código_Actividad]]="","",CONCATENATE(Tabla1[[#This Row],[POA]],".",Tabla1[[#This Row],[SRS]],".",Tabla1[[#This Row],[AREA]],".",Tabla1[[#This Row],[TIPO]]))</f>
        <v/>
      </c>
      <c r="C211" s="14"/>
      <c r="D211" s="14"/>
      <c r="E211" s="14"/>
      <c r="F211" s="14"/>
      <c r="G211" s="265"/>
      <c r="H211" s="266" t="s">
        <v>547</v>
      </c>
      <c r="I211" s="266" t="s">
        <v>526</v>
      </c>
      <c r="J211" s="265">
        <v>1</v>
      </c>
      <c r="K211" s="268">
        <v>60000</v>
      </c>
      <c r="L211" s="268">
        <f>+Tabla1[[#This Row],[Precio Unitario]]*Tabla1[[#This Row],[Cantidad de Insumos]]</f>
        <v>60000</v>
      </c>
      <c r="M211" s="269" t="s">
        <v>527</v>
      </c>
      <c r="N211" s="266" t="s">
        <v>508</v>
      </c>
      <c r="O211" s="406"/>
      <c r="P211" s="406"/>
      <c r="Q211" s="406"/>
      <c r="R211" s="406"/>
      <c r="S211" s="406"/>
      <c r="T211" s="406"/>
      <c r="U211" s="406"/>
      <c r="V211" s="406"/>
      <c r="W211" s="406"/>
      <c r="X211" s="406"/>
      <c r="Y211" s="406"/>
      <c r="Z211" s="406"/>
      <c r="AA211" s="406"/>
      <c r="AB211" s="406"/>
      <c r="AC211" s="406"/>
      <c r="AD211" s="406"/>
      <c r="AE211" s="406"/>
      <c r="AF211" s="406"/>
      <c r="AG211" s="406"/>
      <c r="AH211" s="406"/>
      <c r="AI211" s="406"/>
      <c r="AJ211" s="406"/>
      <c r="AK211" s="406"/>
      <c r="AL211" s="406"/>
      <c r="AM211" s="406"/>
      <c r="AN211" s="406"/>
      <c r="AO211" s="406"/>
      <c r="AP211" s="406"/>
      <c r="AQ211" s="406"/>
    </row>
    <row r="212" spans="1:43" s="407" customFormat="1" ht="12.75" x14ac:dyDescent="0.2">
      <c r="A212" s="406"/>
      <c r="B212" s="14" t="str">
        <f>IF(Tabla1[[#This Row],[Código_Actividad]]="","",CONCATENATE(Tabla1[[#This Row],[POA]],".",Tabla1[[#This Row],[SRS]],".",Tabla1[[#This Row],[AREA]],".",Tabla1[[#This Row],[TIPO]]))</f>
        <v/>
      </c>
      <c r="C212" s="14"/>
      <c r="D212" s="14"/>
      <c r="E212" s="14"/>
      <c r="F212" s="14"/>
      <c r="G212" s="265"/>
      <c r="H212" s="266" t="s">
        <v>534</v>
      </c>
      <c r="I212" s="266" t="s">
        <v>526</v>
      </c>
      <c r="J212" s="265">
        <v>1</v>
      </c>
      <c r="K212" s="268">
        <v>1400</v>
      </c>
      <c r="L212" s="268">
        <f>+Tabla1[[#This Row],[Precio Unitario]]*Tabla1[[#This Row],[Cantidad de Insumos]]</f>
        <v>1400</v>
      </c>
      <c r="M212" s="269" t="s">
        <v>529</v>
      </c>
      <c r="N212" s="266" t="s">
        <v>66</v>
      </c>
      <c r="O212" s="406"/>
      <c r="P212" s="406"/>
      <c r="Q212" s="406"/>
      <c r="R212" s="406"/>
      <c r="S212" s="406"/>
      <c r="T212" s="406"/>
      <c r="U212" s="406"/>
      <c r="V212" s="406"/>
      <c r="W212" s="406"/>
      <c r="X212" s="406"/>
      <c r="Y212" s="406"/>
      <c r="Z212" s="406"/>
      <c r="AA212" s="406"/>
      <c r="AB212" s="406"/>
      <c r="AC212" s="406"/>
      <c r="AD212" s="406"/>
      <c r="AE212" s="406"/>
      <c r="AF212" s="406"/>
      <c r="AG212" s="406"/>
      <c r="AH212" s="406"/>
      <c r="AI212" s="406"/>
      <c r="AJ212" s="406"/>
      <c r="AK212" s="406"/>
      <c r="AL212" s="406"/>
      <c r="AM212" s="406"/>
      <c r="AN212" s="406"/>
      <c r="AO212" s="406"/>
      <c r="AP212" s="406"/>
      <c r="AQ212" s="406"/>
    </row>
    <row r="213" spans="1:43" s="407" customFormat="1" ht="12.75" x14ac:dyDescent="0.2">
      <c r="A213" s="406"/>
      <c r="B213" s="14" t="str">
        <f>IF(Tabla1[[#This Row],[Código_Actividad]]="","",CONCATENATE(Tabla1[[#This Row],[POA]],".",Tabla1[[#This Row],[SRS]],".",Tabla1[[#This Row],[AREA]],".",Tabla1[[#This Row],[TIPO]]))</f>
        <v/>
      </c>
      <c r="C213" s="14"/>
      <c r="D213" s="14"/>
      <c r="E213" s="14"/>
      <c r="F213" s="14"/>
      <c r="G213" s="265"/>
      <c r="H213" s="266" t="s">
        <v>535</v>
      </c>
      <c r="I213" s="266" t="s">
        <v>536</v>
      </c>
      <c r="J213" s="265">
        <v>1</v>
      </c>
      <c r="K213" s="268">
        <v>500</v>
      </c>
      <c r="L213" s="268">
        <f>+Tabla1[[#This Row],[Precio Unitario]]*Tabla1[[#This Row],[Cantidad de Insumos]]</f>
        <v>500</v>
      </c>
      <c r="M213" s="269" t="s">
        <v>533</v>
      </c>
      <c r="N213" s="266" t="s">
        <v>66</v>
      </c>
      <c r="O213" s="406"/>
      <c r="P213" s="406"/>
      <c r="Q213" s="406"/>
      <c r="R213" s="406"/>
      <c r="S213" s="406"/>
      <c r="T213" s="406"/>
      <c r="U213" s="406"/>
      <c r="V213" s="406"/>
      <c r="W213" s="406"/>
      <c r="X213" s="406"/>
      <c r="Y213" s="406"/>
      <c r="Z213" s="406"/>
      <c r="AA213" s="406"/>
      <c r="AB213" s="406"/>
      <c r="AC213" s="406"/>
      <c r="AD213" s="406"/>
      <c r="AE213" s="406"/>
      <c r="AF213" s="406"/>
      <c r="AG213" s="406"/>
      <c r="AH213" s="406"/>
      <c r="AI213" s="406"/>
      <c r="AJ213" s="406"/>
      <c r="AK213" s="406"/>
      <c r="AL213" s="406"/>
      <c r="AM213" s="406"/>
      <c r="AN213" s="406"/>
      <c r="AO213" s="406"/>
      <c r="AP213" s="406"/>
      <c r="AQ213" s="406"/>
    </row>
    <row r="214" spans="1:43" s="407" customFormat="1" ht="12.75" x14ac:dyDescent="0.2">
      <c r="A214" s="406"/>
      <c r="B214" s="14" t="str">
        <f>IF(Tabla1[[#This Row],[Código_Actividad]]="","",CONCATENATE(Tabla1[[#This Row],[POA]],".",Tabla1[[#This Row],[SRS]],".",Tabla1[[#This Row],[AREA]],".",Tabla1[[#This Row],[TIPO]]))</f>
        <v/>
      </c>
      <c r="C214" s="14"/>
      <c r="D214" s="14"/>
      <c r="E214" s="14"/>
      <c r="F214" s="14"/>
      <c r="G214" s="265"/>
      <c r="H214" s="266" t="s">
        <v>537</v>
      </c>
      <c r="I214" s="266" t="s">
        <v>526</v>
      </c>
      <c r="J214" s="265">
        <v>1</v>
      </c>
      <c r="K214" s="268">
        <v>180</v>
      </c>
      <c r="L214" s="268">
        <f>+Tabla1[[#This Row],[Precio Unitario]]*Tabla1[[#This Row],[Cantidad de Insumos]]</f>
        <v>180</v>
      </c>
      <c r="M214" s="269" t="s">
        <v>538</v>
      </c>
      <c r="N214" s="266" t="s">
        <v>66</v>
      </c>
      <c r="O214" s="406"/>
      <c r="P214" s="406"/>
      <c r="Q214" s="406"/>
      <c r="R214" s="406"/>
      <c r="S214" s="406"/>
      <c r="T214" s="406"/>
      <c r="U214" s="406"/>
      <c r="V214" s="406"/>
      <c r="W214" s="406"/>
      <c r="X214" s="406"/>
      <c r="Y214" s="406"/>
      <c r="Z214" s="406"/>
      <c r="AA214" s="406"/>
      <c r="AB214" s="406"/>
      <c r="AC214" s="406"/>
      <c r="AD214" s="406"/>
      <c r="AE214" s="406"/>
      <c r="AF214" s="406"/>
      <c r="AG214" s="406"/>
      <c r="AH214" s="406"/>
      <c r="AI214" s="406"/>
      <c r="AJ214" s="406"/>
      <c r="AK214" s="406"/>
      <c r="AL214" s="406"/>
      <c r="AM214" s="406"/>
      <c r="AN214" s="406"/>
      <c r="AO214" s="406"/>
      <c r="AP214" s="406"/>
      <c r="AQ214" s="406"/>
    </row>
    <row r="215" spans="1:43" s="407" customFormat="1" ht="12.75" x14ac:dyDescent="0.2">
      <c r="A215" s="406"/>
      <c r="B215" s="14" t="str">
        <f>IF(Tabla1[[#This Row],[Código_Actividad]]="","",CONCATENATE(Tabla1[[#This Row],[POA]],".",Tabla1[[#This Row],[SRS]],".",Tabla1[[#This Row],[AREA]],".",Tabla1[[#This Row],[TIPO]]))</f>
        <v/>
      </c>
      <c r="C215" s="14"/>
      <c r="D215" s="14"/>
      <c r="E215" s="14"/>
      <c r="F215" s="14"/>
      <c r="G215" s="265"/>
      <c r="H215" s="266" t="s">
        <v>539</v>
      </c>
      <c r="I215" s="266" t="s">
        <v>540</v>
      </c>
      <c r="J215" s="265">
        <v>1</v>
      </c>
      <c r="K215" s="268">
        <v>120</v>
      </c>
      <c r="L215" s="268">
        <f>+Tabla1[[#This Row],[Precio Unitario]]*Tabla1[[#This Row],[Cantidad de Insumos]]</f>
        <v>120</v>
      </c>
      <c r="M215" s="269" t="s">
        <v>529</v>
      </c>
      <c r="N215" s="266" t="s">
        <v>66</v>
      </c>
      <c r="O215" s="406"/>
      <c r="P215" s="406"/>
      <c r="Q215" s="406"/>
      <c r="R215" s="406"/>
      <c r="S215" s="406"/>
      <c r="T215" s="406"/>
      <c r="U215" s="406"/>
      <c r="V215" s="406"/>
      <c r="W215" s="406"/>
      <c r="X215" s="406"/>
      <c r="Y215" s="406"/>
      <c r="Z215" s="406"/>
      <c r="AA215" s="406"/>
      <c r="AB215" s="406"/>
      <c r="AC215" s="406"/>
      <c r="AD215" s="406"/>
      <c r="AE215" s="406"/>
      <c r="AF215" s="406"/>
      <c r="AG215" s="406"/>
      <c r="AH215" s="406"/>
      <c r="AI215" s="406"/>
      <c r="AJ215" s="406"/>
      <c r="AK215" s="406"/>
      <c r="AL215" s="406"/>
      <c r="AM215" s="406"/>
      <c r="AN215" s="406"/>
      <c r="AO215" s="406"/>
      <c r="AP215" s="406"/>
      <c r="AQ215" s="406"/>
    </row>
    <row r="216" spans="1:43" s="407" customFormat="1" ht="12.75" x14ac:dyDescent="0.2">
      <c r="A216" s="406"/>
      <c r="B216" s="14" t="str">
        <f>IF(Tabla1[[#This Row],[Código_Actividad]]="","",CONCATENATE(Tabla1[[#This Row],[POA]],".",Tabla1[[#This Row],[SRS]],".",Tabla1[[#This Row],[AREA]],".",Tabla1[[#This Row],[TIPO]]))</f>
        <v/>
      </c>
      <c r="C216" s="14"/>
      <c r="D216" s="14"/>
      <c r="E216" s="14"/>
      <c r="F216" s="14"/>
      <c r="G216" s="265"/>
      <c r="H216" s="266" t="s">
        <v>541</v>
      </c>
      <c r="I216" s="266" t="s">
        <v>526</v>
      </c>
      <c r="J216" s="265">
        <v>1</v>
      </c>
      <c r="K216" s="268">
        <v>4500</v>
      </c>
      <c r="L216" s="268">
        <f>+Tabla1[[#This Row],[Precio Unitario]]*Tabla1[[#This Row],[Cantidad de Insumos]]</f>
        <v>4500</v>
      </c>
      <c r="M216" s="269" t="s">
        <v>542</v>
      </c>
      <c r="N216" s="266" t="s">
        <v>66</v>
      </c>
      <c r="O216" s="406"/>
      <c r="P216" s="406"/>
      <c r="Q216" s="406"/>
      <c r="R216" s="406"/>
      <c r="S216" s="406"/>
      <c r="T216" s="406"/>
      <c r="U216" s="406"/>
      <c r="V216" s="406"/>
      <c r="W216" s="406"/>
      <c r="X216" s="406"/>
      <c r="Y216" s="406"/>
      <c r="Z216" s="406"/>
      <c r="AA216" s="406"/>
      <c r="AB216" s="406"/>
      <c r="AC216" s="406"/>
      <c r="AD216" s="406"/>
      <c r="AE216" s="406"/>
      <c r="AF216" s="406"/>
      <c r="AG216" s="406"/>
      <c r="AH216" s="406"/>
      <c r="AI216" s="406"/>
      <c r="AJ216" s="406"/>
      <c r="AK216" s="406"/>
      <c r="AL216" s="406"/>
      <c r="AM216" s="406"/>
      <c r="AN216" s="406"/>
      <c r="AO216" s="406"/>
      <c r="AP216" s="406"/>
      <c r="AQ216" s="406"/>
    </row>
    <row r="217" spans="1:43" s="407" customFormat="1" ht="12.75" x14ac:dyDescent="0.2">
      <c r="A217" s="406"/>
      <c r="B217" s="14" t="str">
        <f>IF(Tabla1[[#This Row],[Código_Actividad]]="","",CONCATENATE(Tabla1[[#This Row],[POA]],".",Tabla1[[#This Row],[SRS]],".",Tabla1[[#This Row],[AREA]],".",Tabla1[[#This Row],[TIPO]]))</f>
        <v/>
      </c>
      <c r="C217" s="14"/>
      <c r="D217" s="14"/>
      <c r="E217" s="14"/>
      <c r="F217" s="14"/>
      <c r="G217" s="265"/>
      <c r="H217" s="266" t="s">
        <v>543</v>
      </c>
      <c r="I217" s="266" t="s">
        <v>540</v>
      </c>
      <c r="J217" s="265">
        <v>1</v>
      </c>
      <c r="K217" s="268">
        <v>600</v>
      </c>
      <c r="L217" s="268">
        <f>+Tabla1[[#This Row],[Precio Unitario]]*Tabla1[[#This Row],[Cantidad de Insumos]]</f>
        <v>600</v>
      </c>
      <c r="M217" s="269" t="s">
        <v>529</v>
      </c>
      <c r="N217" s="266" t="s">
        <v>66</v>
      </c>
      <c r="O217" s="406"/>
      <c r="P217" s="406"/>
      <c r="Q217" s="406"/>
      <c r="R217" s="406"/>
      <c r="S217" s="406"/>
      <c r="T217" s="406"/>
      <c r="U217" s="406"/>
      <c r="V217" s="406"/>
      <c r="W217" s="406"/>
      <c r="X217" s="406"/>
      <c r="Y217" s="406"/>
      <c r="Z217" s="406"/>
      <c r="AA217" s="406"/>
      <c r="AB217" s="406"/>
      <c r="AC217" s="406"/>
      <c r="AD217" s="406"/>
      <c r="AE217" s="406"/>
      <c r="AF217" s="406"/>
      <c r="AG217" s="406"/>
      <c r="AH217" s="406"/>
      <c r="AI217" s="406"/>
      <c r="AJ217" s="406"/>
      <c r="AK217" s="406"/>
      <c r="AL217" s="406"/>
      <c r="AM217" s="406"/>
      <c r="AN217" s="406"/>
      <c r="AO217" s="406"/>
      <c r="AP217" s="406"/>
      <c r="AQ217" s="406"/>
    </row>
    <row r="218" spans="1:43" s="407" customFormat="1" ht="12.75" x14ac:dyDescent="0.2">
      <c r="A218" s="406"/>
      <c r="B218" s="14" t="str">
        <f>IF(Tabla1[[#This Row],[Código_Actividad]]="","",CONCATENATE(Tabla1[[#This Row],[POA]],".",Tabla1[[#This Row],[SRS]],".",Tabla1[[#This Row],[AREA]],".",Tabla1[[#This Row],[TIPO]]))</f>
        <v/>
      </c>
      <c r="C218" s="14"/>
      <c r="D218" s="14"/>
      <c r="E218" s="14"/>
      <c r="F218" s="14"/>
      <c r="G218" s="265"/>
      <c r="H218" s="266" t="s">
        <v>530</v>
      </c>
      <c r="I218" s="405" t="s">
        <v>526</v>
      </c>
      <c r="J218" s="265">
        <v>4</v>
      </c>
      <c r="K218" s="268">
        <v>30</v>
      </c>
      <c r="L218" s="268">
        <f>+Tabla1[[#This Row],[Precio Unitario]]*Tabla1[[#This Row],[Cantidad de Insumos]]</f>
        <v>120</v>
      </c>
      <c r="M218" s="269" t="s">
        <v>529</v>
      </c>
      <c r="N218" s="266" t="s">
        <v>66</v>
      </c>
      <c r="O218" s="406"/>
      <c r="P218" s="406"/>
      <c r="Q218" s="406"/>
      <c r="R218" s="406"/>
      <c r="S218" s="406"/>
      <c r="T218" s="406"/>
      <c r="U218" s="406"/>
      <c r="V218" s="406"/>
      <c r="W218" s="406"/>
      <c r="X218" s="406"/>
      <c r="Y218" s="406"/>
      <c r="Z218" s="406"/>
      <c r="AA218" s="406"/>
      <c r="AB218" s="406"/>
      <c r="AC218" s="406"/>
      <c r="AD218" s="406"/>
      <c r="AE218" s="406"/>
      <c r="AF218" s="406"/>
      <c r="AG218" s="406"/>
      <c r="AH218" s="406"/>
      <c r="AI218" s="406"/>
      <c r="AJ218" s="406"/>
      <c r="AK218" s="406"/>
      <c r="AL218" s="406"/>
      <c r="AM218" s="406"/>
      <c r="AN218" s="406"/>
      <c r="AO218" s="406"/>
      <c r="AP218" s="406"/>
      <c r="AQ218" s="406"/>
    </row>
    <row r="219" spans="1:43" s="407" customFormat="1" ht="12.75" x14ac:dyDescent="0.2">
      <c r="A219" s="406"/>
      <c r="B219" s="14" t="str">
        <f>IF(Tabla1[[#This Row],[Código_Actividad]]="","",CONCATENATE(Tabla1[[#This Row],[POA]],".",Tabla1[[#This Row],[SRS]],".",Tabla1[[#This Row],[AREA]],".",Tabla1[[#This Row],[TIPO]]))</f>
        <v/>
      </c>
      <c r="C219" s="14"/>
      <c r="D219" s="14"/>
      <c r="E219" s="14"/>
      <c r="F219" s="14"/>
      <c r="G219" s="265"/>
      <c r="H219" s="266" t="s">
        <v>531</v>
      </c>
      <c r="I219" s="405" t="s">
        <v>532</v>
      </c>
      <c r="J219" s="265">
        <v>1</v>
      </c>
      <c r="K219" s="268">
        <v>150</v>
      </c>
      <c r="L219" s="268">
        <f>+Tabla1[[#This Row],[Precio Unitario]]*Tabla1[[#This Row],[Cantidad de Insumos]]</f>
        <v>150</v>
      </c>
      <c r="M219" s="269" t="s">
        <v>533</v>
      </c>
      <c r="N219" s="266" t="s">
        <v>66</v>
      </c>
      <c r="O219" s="406"/>
      <c r="P219" s="406"/>
      <c r="Q219" s="406"/>
      <c r="R219" s="406"/>
      <c r="S219" s="406"/>
      <c r="T219" s="406"/>
      <c r="U219" s="406"/>
      <c r="V219" s="406"/>
      <c r="W219" s="406"/>
      <c r="X219" s="406"/>
      <c r="Y219" s="406"/>
      <c r="Z219" s="406"/>
      <c r="AA219" s="406"/>
      <c r="AB219" s="406"/>
      <c r="AC219" s="406"/>
      <c r="AD219" s="406"/>
      <c r="AE219" s="406"/>
      <c r="AF219" s="406"/>
      <c r="AG219" s="406"/>
      <c r="AH219" s="406"/>
      <c r="AI219" s="406"/>
      <c r="AJ219" s="406"/>
      <c r="AK219" s="406"/>
      <c r="AL219" s="406"/>
      <c r="AM219" s="406"/>
      <c r="AN219" s="406"/>
      <c r="AO219" s="406"/>
      <c r="AP219" s="406"/>
      <c r="AQ219" s="406"/>
    </row>
    <row r="220" spans="1:43" s="407" customFormat="1" ht="12.75" x14ac:dyDescent="0.2">
      <c r="A220" s="406"/>
      <c r="B220" s="14" t="str">
        <f>IF(Tabla1[[#This Row],[Código_Actividad]]="","",CONCATENATE(Tabla1[[#This Row],[POA]],".",Tabla1[[#This Row],[SRS]],".",Tabla1[[#This Row],[AREA]],".",Tabla1[[#This Row],[TIPO]]))</f>
        <v/>
      </c>
      <c r="C220" s="14"/>
      <c r="D220" s="14"/>
      <c r="E220" s="14"/>
      <c r="F220" s="14"/>
      <c r="G220" s="265"/>
      <c r="H220" s="266" t="s">
        <v>544</v>
      </c>
      <c r="I220" s="266" t="s">
        <v>540</v>
      </c>
      <c r="J220" s="265">
        <v>1</v>
      </c>
      <c r="K220" s="268">
        <v>1200</v>
      </c>
      <c r="L220" s="268">
        <f>+Tabla1[[#This Row],[Precio Unitario]]*Tabla1[[#This Row],[Cantidad de Insumos]]</f>
        <v>1200</v>
      </c>
      <c r="M220" s="269" t="s">
        <v>545</v>
      </c>
      <c r="N220" s="266" t="s">
        <v>66</v>
      </c>
      <c r="O220" s="406"/>
      <c r="P220" s="406"/>
      <c r="Q220" s="406"/>
      <c r="R220" s="406"/>
      <c r="S220" s="406"/>
      <c r="T220" s="406"/>
      <c r="U220" s="406"/>
      <c r="V220" s="406"/>
      <c r="W220" s="406"/>
      <c r="X220" s="406"/>
      <c r="Y220" s="406"/>
      <c r="Z220" s="406"/>
      <c r="AA220" s="406"/>
      <c r="AB220" s="406"/>
      <c r="AC220" s="406"/>
      <c r="AD220" s="406"/>
      <c r="AE220" s="406"/>
      <c r="AF220" s="406"/>
      <c r="AG220" s="406"/>
      <c r="AH220" s="406"/>
      <c r="AI220" s="406"/>
      <c r="AJ220" s="406"/>
      <c r="AK220" s="406"/>
      <c r="AL220" s="406"/>
      <c r="AM220" s="406"/>
      <c r="AN220" s="406"/>
      <c r="AO220" s="406"/>
      <c r="AP220" s="406"/>
      <c r="AQ220" s="406"/>
    </row>
    <row r="221" spans="1:43" s="407" customFormat="1" ht="12.75" x14ac:dyDescent="0.2">
      <c r="A221" s="406"/>
      <c r="B221" s="14" t="str">
        <f>IF(Tabla1[[#This Row],[Código_Actividad]]="","",CONCATENATE(Tabla1[[#This Row],[POA]],".",Tabla1[[#This Row],[SRS]],".",Tabla1[[#This Row],[AREA]],".",Tabla1[[#This Row],[TIPO]]))</f>
        <v/>
      </c>
      <c r="C221" s="14"/>
      <c r="D221" s="14"/>
      <c r="E221" s="14"/>
      <c r="F221" s="14"/>
      <c r="G221" s="265"/>
      <c r="H221" s="266" t="s">
        <v>546</v>
      </c>
      <c r="I221" s="266" t="s">
        <v>526</v>
      </c>
      <c r="J221" s="265">
        <v>1</v>
      </c>
      <c r="K221" s="268">
        <v>100</v>
      </c>
      <c r="L221" s="268">
        <f>+Tabla1[[#This Row],[Precio Unitario]]*Tabla1[[#This Row],[Cantidad de Insumos]]</f>
        <v>100</v>
      </c>
      <c r="M221" s="269" t="s">
        <v>529</v>
      </c>
      <c r="N221" s="266" t="s">
        <v>508</v>
      </c>
      <c r="O221" s="406"/>
      <c r="P221" s="406"/>
      <c r="Q221" s="406"/>
      <c r="R221" s="406"/>
      <c r="S221" s="406"/>
      <c r="T221" s="406"/>
      <c r="U221" s="406"/>
      <c r="V221" s="406"/>
      <c r="W221" s="406"/>
      <c r="X221" s="406"/>
      <c r="Y221" s="406"/>
      <c r="Z221" s="406"/>
      <c r="AA221" s="406"/>
      <c r="AB221" s="406"/>
      <c r="AC221" s="406"/>
      <c r="AD221" s="406"/>
      <c r="AE221" s="406"/>
      <c r="AF221" s="406"/>
      <c r="AG221" s="406"/>
      <c r="AH221" s="406"/>
      <c r="AI221" s="406"/>
      <c r="AJ221" s="406"/>
      <c r="AK221" s="406"/>
      <c r="AL221" s="406"/>
      <c r="AM221" s="406"/>
      <c r="AN221" s="406"/>
      <c r="AO221" s="406"/>
      <c r="AP221" s="406"/>
      <c r="AQ221" s="406"/>
    </row>
    <row r="222" spans="1:43" s="407" customFormat="1" ht="12.75" x14ac:dyDescent="0.2">
      <c r="A222" s="406"/>
      <c r="B222" s="14" t="str">
        <f>IF(Tabla1[[#This Row],[Código_Actividad]]="","",CONCATENATE(Tabla1[[#This Row],[POA]],".",Tabla1[[#This Row],[SRS]],".",Tabla1[[#This Row],[AREA]],".",Tabla1[[#This Row],[TIPO]]))</f>
        <v>...</v>
      </c>
      <c r="C222" s="14" t="s">
        <v>523</v>
      </c>
      <c r="D222" s="14" t="s">
        <v>523</v>
      </c>
      <c r="E222" s="14" t="s">
        <v>523</v>
      </c>
      <c r="F222" s="14" t="s">
        <v>523</v>
      </c>
      <c r="G222" s="265" t="s">
        <v>301</v>
      </c>
      <c r="H222" s="266" t="s">
        <v>525</v>
      </c>
      <c r="I222" s="266" t="s">
        <v>526</v>
      </c>
      <c r="J222" s="265">
        <v>1</v>
      </c>
      <c r="K222" s="267">
        <v>35000</v>
      </c>
      <c r="L222" s="268">
        <f>+Tabla1[[#This Row],[Precio Unitario]]*Tabla1[[#This Row],[Cantidad de Insumos]]</f>
        <v>35000</v>
      </c>
      <c r="M222" s="269" t="s">
        <v>527</v>
      </c>
      <c r="N222" s="266" t="s">
        <v>508</v>
      </c>
      <c r="O222" s="406"/>
      <c r="P222" s="406"/>
      <c r="Q222" s="406"/>
      <c r="R222" s="406"/>
      <c r="S222" s="406"/>
      <c r="T222" s="406"/>
      <c r="U222" s="406"/>
      <c r="V222" s="406"/>
      <c r="W222" s="406"/>
      <c r="X222" s="406"/>
      <c r="Y222" s="406"/>
      <c r="Z222" s="406"/>
      <c r="AA222" s="406"/>
      <c r="AB222" s="406"/>
      <c r="AC222" s="406"/>
      <c r="AD222" s="406"/>
      <c r="AE222" s="406"/>
      <c r="AF222" s="406"/>
      <c r="AG222" s="406"/>
      <c r="AH222" s="406"/>
      <c r="AI222" s="406"/>
      <c r="AJ222" s="406"/>
      <c r="AK222" s="406"/>
      <c r="AL222" s="406"/>
      <c r="AM222" s="406"/>
      <c r="AN222" s="406"/>
      <c r="AO222" s="406"/>
      <c r="AP222" s="406"/>
      <c r="AQ222" s="406"/>
    </row>
    <row r="223" spans="1:43" s="407" customFormat="1" ht="12.75" x14ac:dyDescent="0.2">
      <c r="A223" s="406"/>
      <c r="B223" s="14" t="str">
        <f>IF(Tabla1[[#This Row],[Código_Actividad]]="","",CONCATENATE(Tabla1[[#This Row],[POA]],".",Tabla1[[#This Row],[SRS]],".",Tabla1[[#This Row],[AREA]],".",Tabla1[[#This Row],[TIPO]]))</f>
        <v/>
      </c>
      <c r="C223" s="14"/>
      <c r="D223" s="14"/>
      <c r="E223" s="14"/>
      <c r="F223" s="14"/>
      <c r="G223" s="265"/>
      <c r="H223" s="266" t="s">
        <v>534</v>
      </c>
      <c r="I223" s="266" t="s">
        <v>526</v>
      </c>
      <c r="J223" s="265">
        <v>1</v>
      </c>
      <c r="K223" s="268">
        <v>1400</v>
      </c>
      <c r="L223" s="268">
        <f>+Tabla1[[#This Row],[Precio Unitario]]*Tabla1[[#This Row],[Cantidad de Insumos]]</f>
        <v>1400</v>
      </c>
      <c r="M223" s="269" t="s">
        <v>529</v>
      </c>
      <c r="N223" s="266" t="s">
        <v>66</v>
      </c>
      <c r="O223" s="406"/>
      <c r="P223" s="406"/>
      <c r="Q223" s="406"/>
      <c r="R223" s="406"/>
      <c r="S223" s="406"/>
      <c r="T223" s="406"/>
      <c r="U223" s="406"/>
      <c r="V223" s="406"/>
      <c r="W223" s="406"/>
      <c r="X223" s="406"/>
      <c r="Y223" s="406"/>
      <c r="Z223" s="406"/>
      <c r="AA223" s="406"/>
      <c r="AB223" s="406"/>
      <c r="AC223" s="406"/>
      <c r="AD223" s="406"/>
      <c r="AE223" s="406"/>
      <c r="AF223" s="406"/>
      <c r="AG223" s="406"/>
      <c r="AH223" s="406"/>
      <c r="AI223" s="406"/>
      <c r="AJ223" s="406"/>
      <c r="AK223" s="406"/>
      <c r="AL223" s="406"/>
      <c r="AM223" s="406"/>
      <c r="AN223" s="406"/>
      <c r="AO223" s="406"/>
      <c r="AP223" s="406"/>
      <c r="AQ223" s="406"/>
    </row>
    <row r="224" spans="1:43" s="407" customFormat="1" ht="12.75" x14ac:dyDescent="0.2">
      <c r="A224" s="406"/>
      <c r="B224" s="14" t="str">
        <f>IF(Tabla1[[#This Row],[Código_Actividad]]="","",CONCATENATE(Tabla1[[#This Row],[POA]],".",Tabla1[[#This Row],[SRS]],".",Tabla1[[#This Row],[AREA]],".",Tabla1[[#This Row],[TIPO]]))</f>
        <v/>
      </c>
      <c r="C224" s="14"/>
      <c r="D224" s="14"/>
      <c r="E224" s="14"/>
      <c r="F224" s="14"/>
      <c r="G224" s="265"/>
      <c r="H224" s="266" t="s">
        <v>535</v>
      </c>
      <c r="I224" s="266" t="s">
        <v>536</v>
      </c>
      <c r="J224" s="265">
        <v>1</v>
      </c>
      <c r="K224" s="268">
        <v>500</v>
      </c>
      <c r="L224" s="268">
        <f>+Tabla1[[#This Row],[Precio Unitario]]*Tabla1[[#This Row],[Cantidad de Insumos]]</f>
        <v>500</v>
      </c>
      <c r="M224" s="269" t="s">
        <v>533</v>
      </c>
      <c r="N224" s="266" t="s">
        <v>66</v>
      </c>
      <c r="O224" s="406"/>
      <c r="P224" s="406"/>
      <c r="Q224" s="406"/>
      <c r="R224" s="406"/>
      <c r="S224" s="406"/>
      <c r="T224" s="406"/>
      <c r="U224" s="406"/>
      <c r="V224" s="406"/>
      <c r="W224" s="406"/>
      <c r="X224" s="406"/>
      <c r="Y224" s="406"/>
      <c r="Z224" s="406"/>
      <c r="AA224" s="406"/>
      <c r="AB224" s="406"/>
      <c r="AC224" s="406"/>
      <c r="AD224" s="406"/>
      <c r="AE224" s="406"/>
      <c r="AF224" s="406"/>
      <c r="AG224" s="406"/>
      <c r="AH224" s="406"/>
      <c r="AI224" s="406"/>
      <c r="AJ224" s="406"/>
      <c r="AK224" s="406"/>
      <c r="AL224" s="406"/>
      <c r="AM224" s="406"/>
      <c r="AN224" s="406"/>
      <c r="AO224" s="406"/>
      <c r="AP224" s="406"/>
      <c r="AQ224" s="406"/>
    </row>
    <row r="225" spans="1:43" s="407" customFormat="1" ht="12.75" x14ac:dyDescent="0.2">
      <c r="A225" s="406"/>
      <c r="B225" s="14" t="str">
        <f>IF(Tabla1[[#This Row],[Código_Actividad]]="","",CONCATENATE(Tabla1[[#This Row],[POA]],".",Tabla1[[#This Row],[SRS]],".",Tabla1[[#This Row],[AREA]],".",Tabla1[[#This Row],[TIPO]]))</f>
        <v/>
      </c>
      <c r="C225" s="14"/>
      <c r="D225" s="14"/>
      <c r="E225" s="14"/>
      <c r="F225" s="14"/>
      <c r="G225" s="265"/>
      <c r="H225" s="266" t="s">
        <v>537</v>
      </c>
      <c r="I225" s="266" t="s">
        <v>526</v>
      </c>
      <c r="J225" s="265">
        <v>1</v>
      </c>
      <c r="K225" s="268">
        <v>180</v>
      </c>
      <c r="L225" s="268">
        <f>+Tabla1[[#This Row],[Precio Unitario]]*Tabla1[[#This Row],[Cantidad de Insumos]]</f>
        <v>180</v>
      </c>
      <c r="M225" s="269" t="s">
        <v>538</v>
      </c>
      <c r="N225" s="266" t="s">
        <v>66</v>
      </c>
      <c r="O225" s="406"/>
      <c r="P225" s="406"/>
      <c r="Q225" s="406"/>
      <c r="R225" s="406"/>
      <c r="S225" s="406"/>
      <c r="T225" s="406"/>
      <c r="U225" s="406"/>
      <c r="V225" s="406"/>
      <c r="W225" s="406"/>
      <c r="X225" s="406"/>
      <c r="Y225" s="406"/>
      <c r="Z225" s="406"/>
      <c r="AA225" s="406"/>
      <c r="AB225" s="406"/>
      <c r="AC225" s="406"/>
      <c r="AD225" s="406"/>
      <c r="AE225" s="406"/>
      <c r="AF225" s="406"/>
      <c r="AG225" s="406"/>
      <c r="AH225" s="406"/>
      <c r="AI225" s="406"/>
      <c r="AJ225" s="406"/>
      <c r="AK225" s="406"/>
      <c r="AL225" s="406"/>
      <c r="AM225" s="406"/>
      <c r="AN225" s="406"/>
      <c r="AO225" s="406"/>
      <c r="AP225" s="406"/>
      <c r="AQ225" s="406"/>
    </row>
    <row r="226" spans="1:43" s="407" customFormat="1" ht="12.75" x14ac:dyDescent="0.2">
      <c r="A226" s="406"/>
      <c r="B226" s="14" t="str">
        <f>IF(Tabla1[[#This Row],[Código_Actividad]]="","",CONCATENATE(Tabla1[[#This Row],[POA]],".",Tabla1[[#This Row],[SRS]],".",Tabla1[[#This Row],[AREA]],".",Tabla1[[#This Row],[TIPO]]))</f>
        <v/>
      </c>
      <c r="C226" s="14"/>
      <c r="D226" s="14"/>
      <c r="E226" s="14"/>
      <c r="F226" s="14"/>
      <c r="G226" s="265"/>
      <c r="H226" s="266" t="s">
        <v>539</v>
      </c>
      <c r="I226" s="266" t="s">
        <v>540</v>
      </c>
      <c r="J226" s="265">
        <v>1</v>
      </c>
      <c r="K226" s="268">
        <v>120</v>
      </c>
      <c r="L226" s="268">
        <f>+Tabla1[[#This Row],[Precio Unitario]]*Tabla1[[#This Row],[Cantidad de Insumos]]</f>
        <v>120</v>
      </c>
      <c r="M226" s="269" t="s">
        <v>529</v>
      </c>
      <c r="N226" s="266" t="s">
        <v>66</v>
      </c>
      <c r="O226" s="406"/>
      <c r="P226" s="406"/>
      <c r="Q226" s="406"/>
      <c r="R226" s="406"/>
      <c r="S226" s="406"/>
      <c r="T226" s="406"/>
      <c r="U226" s="406"/>
      <c r="V226" s="406"/>
      <c r="W226" s="406"/>
      <c r="X226" s="406"/>
      <c r="Y226" s="406"/>
      <c r="Z226" s="406"/>
      <c r="AA226" s="406"/>
      <c r="AB226" s="406"/>
      <c r="AC226" s="406"/>
      <c r="AD226" s="406"/>
      <c r="AE226" s="406"/>
      <c r="AF226" s="406"/>
      <c r="AG226" s="406"/>
      <c r="AH226" s="406"/>
      <c r="AI226" s="406"/>
      <c r="AJ226" s="406"/>
      <c r="AK226" s="406"/>
      <c r="AL226" s="406"/>
      <c r="AM226" s="406"/>
      <c r="AN226" s="406"/>
      <c r="AO226" s="406"/>
      <c r="AP226" s="406"/>
      <c r="AQ226" s="406"/>
    </row>
    <row r="227" spans="1:43" s="407" customFormat="1" ht="12.75" x14ac:dyDescent="0.2">
      <c r="A227" s="406"/>
      <c r="B227" s="14" t="str">
        <f>IF(Tabla1[[#This Row],[Código_Actividad]]="","",CONCATENATE(Tabla1[[#This Row],[POA]],".",Tabla1[[#This Row],[SRS]],".",Tabla1[[#This Row],[AREA]],".",Tabla1[[#This Row],[TIPO]]))</f>
        <v/>
      </c>
      <c r="C227" s="14"/>
      <c r="D227" s="14"/>
      <c r="E227" s="14"/>
      <c r="F227" s="14"/>
      <c r="G227" s="265"/>
      <c r="H227" s="266" t="s">
        <v>541</v>
      </c>
      <c r="I227" s="266" t="s">
        <v>526</v>
      </c>
      <c r="J227" s="265">
        <v>1</v>
      </c>
      <c r="K227" s="268">
        <v>4500</v>
      </c>
      <c r="L227" s="268">
        <f>+Tabla1[[#This Row],[Precio Unitario]]*Tabla1[[#This Row],[Cantidad de Insumos]]</f>
        <v>4500</v>
      </c>
      <c r="M227" s="269" t="s">
        <v>542</v>
      </c>
      <c r="N227" s="266" t="s">
        <v>66</v>
      </c>
      <c r="O227" s="406"/>
      <c r="P227" s="406"/>
      <c r="Q227" s="406"/>
      <c r="R227" s="406"/>
      <c r="S227" s="406"/>
      <c r="T227" s="406"/>
      <c r="U227" s="406"/>
      <c r="V227" s="406"/>
      <c r="W227" s="406"/>
      <c r="X227" s="406"/>
      <c r="Y227" s="406"/>
      <c r="Z227" s="406"/>
      <c r="AA227" s="406"/>
      <c r="AB227" s="406"/>
      <c r="AC227" s="406"/>
      <c r="AD227" s="406"/>
      <c r="AE227" s="406"/>
      <c r="AF227" s="406"/>
      <c r="AG227" s="406"/>
      <c r="AH227" s="406"/>
      <c r="AI227" s="406"/>
      <c r="AJ227" s="406"/>
      <c r="AK227" s="406"/>
      <c r="AL227" s="406"/>
      <c r="AM227" s="406"/>
      <c r="AN227" s="406"/>
      <c r="AO227" s="406"/>
      <c r="AP227" s="406"/>
      <c r="AQ227" s="406"/>
    </row>
    <row r="228" spans="1:43" s="407" customFormat="1" ht="12.75" x14ac:dyDescent="0.2">
      <c r="A228" s="406"/>
      <c r="B228" s="14" t="str">
        <f>IF(Tabla1[[#This Row],[Código_Actividad]]="","",CONCATENATE(Tabla1[[#This Row],[POA]],".",Tabla1[[#This Row],[SRS]],".",Tabla1[[#This Row],[AREA]],".",Tabla1[[#This Row],[TIPO]]))</f>
        <v/>
      </c>
      <c r="C228" s="14"/>
      <c r="D228" s="14"/>
      <c r="E228" s="14"/>
      <c r="F228" s="14"/>
      <c r="G228" s="265"/>
      <c r="H228" s="266" t="s">
        <v>543</v>
      </c>
      <c r="I228" s="266" t="s">
        <v>540</v>
      </c>
      <c r="J228" s="265">
        <v>1</v>
      </c>
      <c r="K228" s="268">
        <v>600</v>
      </c>
      <c r="L228" s="268">
        <f>+Tabla1[[#This Row],[Precio Unitario]]*Tabla1[[#This Row],[Cantidad de Insumos]]</f>
        <v>600</v>
      </c>
      <c r="M228" s="269" t="s">
        <v>529</v>
      </c>
      <c r="N228" s="266" t="s">
        <v>66</v>
      </c>
      <c r="O228" s="406"/>
      <c r="P228" s="406"/>
      <c r="Q228" s="406"/>
      <c r="R228" s="406"/>
      <c r="S228" s="406"/>
      <c r="T228" s="406"/>
      <c r="U228" s="406"/>
      <c r="V228" s="406"/>
      <c r="W228" s="406"/>
      <c r="X228" s="406"/>
      <c r="Y228" s="406"/>
      <c r="Z228" s="406"/>
      <c r="AA228" s="406"/>
      <c r="AB228" s="406"/>
      <c r="AC228" s="406"/>
      <c r="AD228" s="406"/>
      <c r="AE228" s="406"/>
      <c r="AF228" s="406"/>
      <c r="AG228" s="406"/>
      <c r="AH228" s="406"/>
      <c r="AI228" s="406"/>
      <c r="AJ228" s="406"/>
      <c r="AK228" s="406"/>
      <c r="AL228" s="406"/>
      <c r="AM228" s="406"/>
      <c r="AN228" s="406"/>
      <c r="AO228" s="406"/>
      <c r="AP228" s="406"/>
      <c r="AQ228" s="406"/>
    </row>
    <row r="229" spans="1:43" s="407" customFormat="1" ht="12.75" x14ac:dyDescent="0.2">
      <c r="A229" s="406"/>
      <c r="B229" s="14" t="str">
        <f>IF(Tabla1[[#This Row],[Código_Actividad]]="","",CONCATENATE(Tabla1[[#This Row],[POA]],".",Tabla1[[#This Row],[SRS]],".",Tabla1[[#This Row],[AREA]],".",Tabla1[[#This Row],[TIPO]]))</f>
        <v/>
      </c>
      <c r="C229" s="14"/>
      <c r="D229" s="14"/>
      <c r="E229" s="14"/>
      <c r="F229" s="14"/>
      <c r="G229" s="265"/>
      <c r="H229" s="266" t="s">
        <v>530</v>
      </c>
      <c r="I229" s="405" t="s">
        <v>526</v>
      </c>
      <c r="J229" s="265">
        <v>4</v>
      </c>
      <c r="K229" s="268">
        <v>30</v>
      </c>
      <c r="L229" s="268">
        <f>+Tabla1[[#This Row],[Precio Unitario]]*Tabla1[[#This Row],[Cantidad de Insumos]]</f>
        <v>120</v>
      </c>
      <c r="M229" s="269" t="s">
        <v>529</v>
      </c>
      <c r="N229" s="266" t="s">
        <v>66</v>
      </c>
      <c r="O229" s="406"/>
      <c r="P229" s="406"/>
      <c r="Q229" s="406"/>
      <c r="R229" s="406"/>
      <c r="S229" s="406"/>
      <c r="T229" s="406"/>
      <c r="U229" s="406"/>
      <c r="V229" s="406"/>
      <c r="W229" s="406"/>
      <c r="X229" s="406"/>
      <c r="Y229" s="406"/>
      <c r="Z229" s="406"/>
      <c r="AA229" s="406"/>
      <c r="AB229" s="406"/>
      <c r="AC229" s="406"/>
      <c r="AD229" s="406"/>
      <c r="AE229" s="406"/>
      <c r="AF229" s="406"/>
      <c r="AG229" s="406"/>
      <c r="AH229" s="406"/>
      <c r="AI229" s="406"/>
      <c r="AJ229" s="406"/>
      <c r="AK229" s="406"/>
      <c r="AL229" s="406"/>
      <c r="AM229" s="406"/>
      <c r="AN229" s="406"/>
      <c r="AO229" s="406"/>
      <c r="AP229" s="406"/>
      <c r="AQ229" s="406"/>
    </row>
    <row r="230" spans="1:43" s="407" customFormat="1" ht="12.75" x14ac:dyDescent="0.2">
      <c r="A230" s="406"/>
      <c r="B230" s="14" t="str">
        <f>IF(Tabla1[[#This Row],[Código_Actividad]]="","",CONCATENATE(Tabla1[[#This Row],[POA]],".",Tabla1[[#This Row],[SRS]],".",Tabla1[[#This Row],[AREA]],".",Tabla1[[#This Row],[TIPO]]))</f>
        <v/>
      </c>
      <c r="C230" s="14"/>
      <c r="D230" s="14"/>
      <c r="E230" s="14"/>
      <c r="F230" s="14"/>
      <c r="G230" s="265"/>
      <c r="H230" s="266" t="s">
        <v>531</v>
      </c>
      <c r="I230" s="405" t="s">
        <v>532</v>
      </c>
      <c r="J230" s="265">
        <v>1</v>
      </c>
      <c r="K230" s="268">
        <v>150</v>
      </c>
      <c r="L230" s="268">
        <f>+Tabla1[[#This Row],[Precio Unitario]]*Tabla1[[#This Row],[Cantidad de Insumos]]</f>
        <v>150</v>
      </c>
      <c r="M230" s="269" t="s">
        <v>533</v>
      </c>
      <c r="N230" s="266" t="s">
        <v>66</v>
      </c>
      <c r="O230" s="406"/>
      <c r="P230" s="406"/>
      <c r="Q230" s="406"/>
      <c r="R230" s="406"/>
      <c r="S230" s="406"/>
      <c r="T230" s="406"/>
      <c r="U230" s="406"/>
      <c r="V230" s="406"/>
      <c r="W230" s="406"/>
      <c r="X230" s="406"/>
      <c r="Y230" s="406"/>
      <c r="Z230" s="406"/>
      <c r="AA230" s="406"/>
      <c r="AB230" s="406"/>
      <c r="AC230" s="406"/>
      <c r="AD230" s="406"/>
      <c r="AE230" s="406"/>
      <c r="AF230" s="406"/>
      <c r="AG230" s="406"/>
      <c r="AH230" s="406"/>
      <c r="AI230" s="406"/>
      <c r="AJ230" s="406"/>
      <c r="AK230" s="406"/>
      <c r="AL230" s="406"/>
      <c r="AM230" s="406"/>
      <c r="AN230" s="406"/>
      <c r="AO230" s="406"/>
      <c r="AP230" s="406"/>
      <c r="AQ230" s="406"/>
    </row>
    <row r="231" spans="1:43" s="407" customFormat="1" ht="12.75" x14ac:dyDescent="0.2">
      <c r="A231" s="406"/>
      <c r="B231" s="14" t="str">
        <f>IF(Tabla1[[#This Row],[Código_Actividad]]="","",CONCATENATE(Tabla1[[#This Row],[POA]],".",Tabla1[[#This Row],[SRS]],".",Tabla1[[#This Row],[AREA]],".",Tabla1[[#This Row],[TIPO]]))</f>
        <v/>
      </c>
      <c r="C231" s="14"/>
      <c r="D231" s="14"/>
      <c r="E231" s="14"/>
      <c r="F231" s="14"/>
      <c r="G231" s="265"/>
      <c r="H231" s="266" t="s">
        <v>544</v>
      </c>
      <c r="I231" s="266" t="s">
        <v>540</v>
      </c>
      <c r="J231" s="265">
        <v>1</v>
      </c>
      <c r="K231" s="268">
        <v>1200</v>
      </c>
      <c r="L231" s="268">
        <f>+Tabla1[[#This Row],[Precio Unitario]]*Tabla1[[#This Row],[Cantidad de Insumos]]</f>
        <v>1200</v>
      </c>
      <c r="M231" s="269" t="s">
        <v>545</v>
      </c>
      <c r="N231" s="266" t="s">
        <v>66</v>
      </c>
      <c r="O231" s="406"/>
      <c r="P231" s="406"/>
      <c r="Q231" s="406"/>
      <c r="R231" s="406"/>
      <c r="S231" s="406"/>
      <c r="T231" s="406"/>
      <c r="U231" s="406"/>
      <c r="V231" s="406"/>
      <c r="W231" s="406"/>
      <c r="X231" s="406"/>
      <c r="Y231" s="406"/>
      <c r="Z231" s="406"/>
      <c r="AA231" s="406"/>
      <c r="AB231" s="406"/>
      <c r="AC231" s="406"/>
      <c r="AD231" s="406"/>
      <c r="AE231" s="406"/>
      <c r="AF231" s="406"/>
      <c r="AG231" s="406"/>
      <c r="AH231" s="406"/>
      <c r="AI231" s="406"/>
      <c r="AJ231" s="406"/>
      <c r="AK231" s="406"/>
      <c r="AL231" s="406"/>
      <c r="AM231" s="406"/>
      <c r="AN231" s="406"/>
      <c r="AO231" s="406"/>
      <c r="AP231" s="406"/>
      <c r="AQ231" s="406"/>
    </row>
    <row r="232" spans="1:43" s="407" customFormat="1" ht="12.75" x14ac:dyDescent="0.2">
      <c r="A232" s="406"/>
      <c r="B232" s="14" t="str">
        <f>IF(Tabla1[[#This Row],[Código_Actividad]]="","",CONCATENATE(Tabla1[[#This Row],[POA]],".",Tabla1[[#This Row],[SRS]],".",Tabla1[[#This Row],[AREA]],".",Tabla1[[#This Row],[TIPO]]))</f>
        <v/>
      </c>
      <c r="C232" s="14"/>
      <c r="D232" s="14"/>
      <c r="E232" s="14"/>
      <c r="F232" s="14"/>
      <c r="G232" s="265"/>
      <c r="H232" s="266" t="s">
        <v>546</v>
      </c>
      <c r="I232" s="266" t="s">
        <v>526</v>
      </c>
      <c r="J232" s="265">
        <v>1</v>
      </c>
      <c r="K232" s="268">
        <v>100</v>
      </c>
      <c r="L232" s="268">
        <f>+Tabla1[[#This Row],[Precio Unitario]]*Tabla1[[#This Row],[Cantidad de Insumos]]</f>
        <v>100</v>
      </c>
      <c r="M232" s="269" t="s">
        <v>529</v>
      </c>
      <c r="N232" s="266" t="s">
        <v>508</v>
      </c>
      <c r="O232" s="406"/>
      <c r="P232" s="406"/>
      <c r="Q232" s="406"/>
      <c r="R232" s="406"/>
      <c r="S232" s="406"/>
      <c r="T232" s="406"/>
      <c r="U232" s="406"/>
      <c r="V232" s="406"/>
      <c r="W232" s="406"/>
      <c r="X232" s="406"/>
      <c r="Y232" s="406"/>
      <c r="Z232" s="406"/>
      <c r="AA232" s="406"/>
      <c r="AB232" s="406"/>
      <c r="AC232" s="406"/>
      <c r="AD232" s="406"/>
      <c r="AE232" s="406"/>
      <c r="AF232" s="406"/>
      <c r="AG232" s="406"/>
      <c r="AH232" s="406"/>
      <c r="AI232" s="406"/>
      <c r="AJ232" s="406"/>
      <c r="AK232" s="406"/>
      <c r="AL232" s="406"/>
      <c r="AM232" s="406"/>
      <c r="AN232" s="406"/>
      <c r="AO232" s="406"/>
      <c r="AP232" s="406"/>
      <c r="AQ232" s="406"/>
    </row>
    <row r="233" spans="1:43" s="407" customFormat="1" ht="12.75" x14ac:dyDescent="0.2">
      <c r="A233" s="406"/>
      <c r="B233" s="14" t="str">
        <f>IF(Tabla1[[#This Row],[Código_Actividad]]="","",CONCATENATE(Tabla1[[#This Row],[POA]],".",Tabla1[[#This Row],[SRS]],".",Tabla1[[#This Row],[AREA]],".",Tabla1[[#This Row],[TIPO]]))</f>
        <v>...</v>
      </c>
      <c r="C233" s="14" t="s">
        <v>523</v>
      </c>
      <c r="D233" s="14" t="s">
        <v>523</v>
      </c>
      <c r="E233" s="14" t="s">
        <v>523</v>
      </c>
      <c r="F233" s="14" t="s">
        <v>523</v>
      </c>
      <c r="G233" s="265" t="s">
        <v>472</v>
      </c>
      <c r="H233" s="266" t="s">
        <v>525</v>
      </c>
      <c r="I233" s="266" t="s">
        <v>526</v>
      </c>
      <c r="J233" s="265">
        <v>1</v>
      </c>
      <c r="K233" s="267">
        <v>35000</v>
      </c>
      <c r="L233" s="268">
        <f>+Tabla1[[#This Row],[Precio Unitario]]*Tabla1[[#This Row],[Cantidad de Insumos]]</f>
        <v>35000</v>
      </c>
      <c r="M233" s="269" t="s">
        <v>527</v>
      </c>
      <c r="N233" s="266" t="s">
        <v>508</v>
      </c>
      <c r="O233" s="406"/>
      <c r="P233" s="406"/>
      <c r="Q233" s="406"/>
      <c r="R233" s="406"/>
      <c r="S233" s="406"/>
      <c r="T233" s="406"/>
      <c r="U233" s="406"/>
      <c r="V233" s="406"/>
      <c r="W233" s="406"/>
      <c r="X233" s="406"/>
      <c r="Y233" s="406"/>
      <c r="Z233" s="406"/>
      <c r="AA233" s="406"/>
      <c r="AB233" s="406"/>
      <c r="AC233" s="406"/>
      <c r="AD233" s="406"/>
      <c r="AE233" s="406"/>
      <c r="AF233" s="406"/>
      <c r="AG233" s="406"/>
      <c r="AH233" s="406"/>
      <c r="AI233" s="406"/>
      <c r="AJ233" s="406"/>
      <c r="AK233" s="406"/>
      <c r="AL233" s="406"/>
      <c r="AM233" s="406"/>
      <c r="AN233" s="406"/>
      <c r="AO233" s="406"/>
      <c r="AP233" s="406"/>
      <c r="AQ233" s="406"/>
    </row>
    <row r="234" spans="1:43" s="407" customFormat="1" ht="12.75" x14ac:dyDescent="0.2">
      <c r="A234" s="406"/>
      <c r="B234" s="14" t="str">
        <f>IF(Tabla1[[#This Row],[Código_Actividad]]="","",CONCATENATE(Tabla1[[#This Row],[POA]],".",Tabla1[[#This Row],[SRS]],".",Tabla1[[#This Row],[AREA]],".",Tabla1[[#This Row],[TIPO]]))</f>
        <v/>
      </c>
      <c r="C234" s="14"/>
      <c r="D234" s="14"/>
      <c r="E234" s="14"/>
      <c r="F234" s="14"/>
      <c r="G234" s="265"/>
      <c r="H234" s="266" t="s">
        <v>547</v>
      </c>
      <c r="I234" s="266" t="s">
        <v>526</v>
      </c>
      <c r="J234" s="265">
        <v>1</v>
      </c>
      <c r="K234" s="268">
        <v>60000</v>
      </c>
      <c r="L234" s="268">
        <f>+Tabla1[[#This Row],[Precio Unitario]]*Tabla1[[#This Row],[Cantidad de Insumos]]</f>
        <v>60000</v>
      </c>
      <c r="M234" s="269" t="s">
        <v>527</v>
      </c>
      <c r="N234" s="266" t="s">
        <v>508</v>
      </c>
      <c r="O234" s="406"/>
      <c r="P234" s="406"/>
      <c r="Q234" s="406"/>
      <c r="R234" s="406"/>
      <c r="S234" s="406"/>
      <c r="T234" s="406"/>
      <c r="U234" s="406"/>
      <c r="V234" s="406"/>
      <c r="W234" s="406"/>
      <c r="X234" s="406"/>
      <c r="Y234" s="406"/>
      <c r="Z234" s="406"/>
      <c r="AA234" s="406"/>
      <c r="AB234" s="406"/>
      <c r="AC234" s="406"/>
      <c r="AD234" s="406"/>
      <c r="AE234" s="406"/>
      <c r="AF234" s="406"/>
      <c r="AG234" s="406"/>
      <c r="AH234" s="406"/>
      <c r="AI234" s="406"/>
      <c r="AJ234" s="406"/>
      <c r="AK234" s="406"/>
      <c r="AL234" s="406"/>
      <c r="AM234" s="406"/>
      <c r="AN234" s="406"/>
      <c r="AO234" s="406"/>
      <c r="AP234" s="406"/>
      <c r="AQ234" s="406"/>
    </row>
    <row r="235" spans="1:43" s="407" customFormat="1" ht="12.75" x14ac:dyDescent="0.2">
      <c r="A235" s="406"/>
      <c r="B235" s="14" t="str">
        <f>IF(Tabla1[[#This Row],[Código_Actividad]]="","",CONCATENATE(Tabla1[[#This Row],[POA]],".",Tabla1[[#This Row],[SRS]],".",Tabla1[[#This Row],[AREA]],".",Tabla1[[#This Row],[TIPO]]))</f>
        <v/>
      </c>
      <c r="C235" s="14"/>
      <c r="D235" s="14"/>
      <c r="E235" s="14"/>
      <c r="F235" s="14"/>
      <c r="G235" s="265"/>
      <c r="H235" s="266" t="s">
        <v>534</v>
      </c>
      <c r="I235" s="266" t="s">
        <v>526</v>
      </c>
      <c r="J235" s="265">
        <v>1</v>
      </c>
      <c r="K235" s="268">
        <v>1400</v>
      </c>
      <c r="L235" s="268">
        <f>+Tabla1[[#This Row],[Precio Unitario]]*Tabla1[[#This Row],[Cantidad de Insumos]]</f>
        <v>1400</v>
      </c>
      <c r="M235" s="269" t="s">
        <v>529</v>
      </c>
      <c r="N235" s="266" t="s">
        <v>66</v>
      </c>
      <c r="O235" s="406"/>
      <c r="P235" s="406"/>
      <c r="Q235" s="406"/>
      <c r="R235" s="406"/>
      <c r="S235" s="406"/>
      <c r="T235" s="406"/>
      <c r="U235" s="406"/>
      <c r="V235" s="406"/>
      <c r="W235" s="406"/>
      <c r="X235" s="406"/>
      <c r="Y235" s="406"/>
      <c r="Z235" s="406"/>
      <c r="AA235" s="406"/>
      <c r="AB235" s="406"/>
      <c r="AC235" s="406"/>
      <c r="AD235" s="406"/>
      <c r="AE235" s="406"/>
      <c r="AF235" s="406"/>
      <c r="AG235" s="406"/>
      <c r="AH235" s="406"/>
      <c r="AI235" s="406"/>
      <c r="AJ235" s="406"/>
      <c r="AK235" s="406"/>
      <c r="AL235" s="406"/>
      <c r="AM235" s="406"/>
      <c r="AN235" s="406"/>
      <c r="AO235" s="406"/>
      <c r="AP235" s="406"/>
      <c r="AQ235" s="406"/>
    </row>
    <row r="236" spans="1:43" s="407" customFormat="1" ht="12.75" x14ac:dyDescent="0.2">
      <c r="A236" s="406"/>
      <c r="B236" s="14" t="str">
        <f>IF(Tabla1[[#This Row],[Código_Actividad]]="","",CONCATENATE(Tabla1[[#This Row],[POA]],".",Tabla1[[#This Row],[SRS]],".",Tabla1[[#This Row],[AREA]],".",Tabla1[[#This Row],[TIPO]]))</f>
        <v/>
      </c>
      <c r="C236" s="14"/>
      <c r="D236" s="14"/>
      <c r="E236" s="14"/>
      <c r="F236" s="14"/>
      <c r="G236" s="265"/>
      <c r="H236" s="266" t="s">
        <v>535</v>
      </c>
      <c r="I236" s="266" t="s">
        <v>536</v>
      </c>
      <c r="J236" s="265">
        <v>1</v>
      </c>
      <c r="K236" s="268">
        <v>500</v>
      </c>
      <c r="L236" s="268">
        <f>+Tabla1[[#This Row],[Precio Unitario]]*Tabla1[[#This Row],[Cantidad de Insumos]]</f>
        <v>500</v>
      </c>
      <c r="M236" s="269" t="s">
        <v>533</v>
      </c>
      <c r="N236" s="266" t="s">
        <v>66</v>
      </c>
      <c r="O236" s="406"/>
      <c r="P236" s="406"/>
      <c r="Q236" s="406"/>
      <c r="R236" s="406"/>
      <c r="S236" s="406"/>
      <c r="T236" s="406"/>
      <c r="U236" s="406"/>
      <c r="V236" s="406"/>
      <c r="W236" s="406"/>
      <c r="X236" s="406"/>
      <c r="Y236" s="406"/>
      <c r="Z236" s="406"/>
      <c r="AA236" s="406"/>
      <c r="AB236" s="406"/>
      <c r="AC236" s="406"/>
      <c r="AD236" s="406"/>
      <c r="AE236" s="406"/>
      <c r="AF236" s="406"/>
      <c r="AG236" s="406"/>
      <c r="AH236" s="406"/>
      <c r="AI236" s="406"/>
      <c r="AJ236" s="406"/>
      <c r="AK236" s="406"/>
      <c r="AL236" s="406"/>
      <c r="AM236" s="406"/>
      <c r="AN236" s="406"/>
      <c r="AO236" s="406"/>
      <c r="AP236" s="406"/>
      <c r="AQ236" s="406"/>
    </row>
    <row r="237" spans="1:43" s="407" customFormat="1" ht="12.75" x14ac:dyDescent="0.2">
      <c r="A237" s="406"/>
      <c r="B237" s="14" t="str">
        <f>IF(Tabla1[[#This Row],[Código_Actividad]]="","",CONCATENATE(Tabla1[[#This Row],[POA]],".",Tabla1[[#This Row],[SRS]],".",Tabla1[[#This Row],[AREA]],".",Tabla1[[#This Row],[TIPO]]))</f>
        <v/>
      </c>
      <c r="C237" s="14"/>
      <c r="D237" s="14"/>
      <c r="E237" s="14"/>
      <c r="F237" s="14"/>
      <c r="G237" s="265"/>
      <c r="H237" s="266" t="s">
        <v>537</v>
      </c>
      <c r="I237" s="266" t="s">
        <v>526</v>
      </c>
      <c r="J237" s="265">
        <v>1</v>
      </c>
      <c r="K237" s="268">
        <v>180</v>
      </c>
      <c r="L237" s="268">
        <f>+Tabla1[[#This Row],[Precio Unitario]]*Tabla1[[#This Row],[Cantidad de Insumos]]</f>
        <v>180</v>
      </c>
      <c r="M237" s="269" t="s">
        <v>538</v>
      </c>
      <c r="N237" s="266" t="s">
        <v>66</v>
      </c>
      <c r="O237" s="406"/>
      <c r="P237" s="406"/>
      <c r="Q237" s="406"/>
      <c r="R237" s="406"/>
      <c r="S237" s="406"/>
      <c r="T237" s="406"/>
      <c r="U237" s="406"/>
      <c r="V237" s="406"/>
      <c r="W237" s="406"/>
      <c r="X237" s="406"/>
      <c r="Y237" s="406"/>
      <c r="Z237" s="406"/>
      <c r="AA237" s="406"/>
      <c r="AB237" s="406"/>
      <c r="AC237" s="406"/>
      <c r="AD237" s="406"/>
      <c r="AE237" s="406"/>
      <c r="AF237" s="406"/>
      <c r="AG237" s="406"/>
      <c r="AH237" s="406"/>
      <c r="AI237" s="406"/>
      <c r="AJ237" s="406"/>
      <c r="AK237" s="406"/>
      <c r="AL237" s="406"/>
      <c r="AM237" s="406"/>
      <c r="AN237" s="406"/>
      <c r="AO237" s="406"/>
      <c r="AP237" s="406"/>
      <c r="AQ237" s="406"/>
    </row>
    <row r="238" spans="1:43" s="407" customFormat="1" ht="12.75" x14ac:dyDescent="0.2">
      <c r="A238" s="406"/>
      <c r="B238" s="14" t="str">
        <f>IF(Tabla1[[#This Row],[Código_Actividad]]="","",CONCATENATE(Tabla1[[#This Row],[POA]],".",Tabla1[[#This Row],[SRS]],".",Tabla1[[#This Row],[AREA]],".",Tabla1[[#This Row],[TIPO]]))</f>
        <v/>
      </c>
      <c r="C238" s="14"/>
      <c r="D238" s="14"/>
      <c r="E238" s="14"/>
      <c r="F238" s="14"/>
      <c r="G238" s="265"/>
      <c r="H238" s="266" t="s">
        <v>539</v>
      </c>
      <c r="I238" s="266" t="s">
        <v>540</v>
      </c>
      <c r="J238" s="265">
        <v>1</v>
      </c>
      <c r="K238" s="268">
        <v>120</v>
      </c>
      <c r="L238" s="268">
        <f>+Tabla1[[#This Row],[Precio Unitario]]*Tabla1[[#This Row],[Cantidad de Insumos]]</f>
        <v>120</v>
      </c>
      <c r="M238" s="269" t="s">
        <v>529</v>
      </c>
      <c r="N238" s="266" t="s">
        <v>66</v>
      </c>
      <c r="O238" s="406"/>
      <c r="P238" s="406"/>
      <c r="Q238" s="406"/>
      <c r="R238" s="406"/>
      <c r="S238" s="406"/>
      <c r="T238" s="406"/>
      <c r="U238" s="406"/>
      <c r="V238" s="406"/>
      <c r="W238" s="406"/>
      <c r="X238" s="406"/>
      <c r="Y238" s="406"/>
      <c r="Z238" s="406"/>
      <c r="AA238" s="406"/>
      <c r="AB238" s="406"/>
      <c r="AC238" s="406"/>
      <c r="AD238" s="406"/>
      <c r="AE238" s="406"/>
      <c r="AF238" s="406"/>
      <c r="AG238" s="406"/>
      <c r="AH238" s="406"/>
      <c r="AI238" s="406"/>
      <c r="AJ238" s="406"/>
      <c r="AK238" s="406"/>
      <c r="AL238" s="406"/>
      <c r="AM238" s="406"/>
      <c r="AN238" s="406"/>
      <c r="AO238" s="406"/>
      <c r="AP238" s="406"/>
      <c r="AQ238" s="406"/>
    </row>
    <row r="239" spans="1:43" s="407" customFormat="1" ht="12.75" x14ac:dyDescent="0.2">
      <c r="A239" s="406"/>
      <c r="B239" s="14" t="str">
        <f>IF(Tabla1[[#This Row],[Código_Actividad]]="","",CONCATENATE(Tabla1[[#This Row],[POA]],".",Tabla1[[#This Row],[SRS]],".",Tabla1[[#This Row],[AREA]],".",Tabla1[[#This Row],[TIPO]]))</f>
        <v/>
      </c>
      <c r="C239" s="14"/>
      <c r="D239" s="14"/>
      <c r="E239" s="14"/>
      <c r="F239" s="14"/>
      <c r="G239" s="265"/>
      <c r="H239" s="266" t="s">
        <v>541</v>
      </c>
      <c r="I239" s="266" t="s">
        <v>526</v>
      </c>
      <c r="J239" s="265">
        <v>1</v>
      </c>
      <c r="K239" s="268">
        <v>4500</v>
      </c>
      <c r="L239" s="268">
        <f>+Tabla1[[#This Row],[Precio Unitario]]*Tabla1[[#This Row],[Cantidad de Insumos]]</f>
        <v>4500</v>
      </c>
      <c r="M239" s="269" t="s">
        <v>542</v>
      </c>
      <c r="N239" s="266" t="s">
        <v>66</v>
      </c>
      <c r="O239" s="406"/>
      <c r="P239" s="406"/>
      <c r="Q239" s="406"/>
      <c r="R239" s="406"/>
      <c r="S239" s="406"/>
      <c r="T239" s="406"/>
      <c r="U239" s="406"/>
      <c r="V239" s="406"/>
      <c r="W239" s="406"/>
      <c r="X239" s="406"/>
      <c r="Y239" s="406"/>
      <c r="Z239" s="406"/>
      <c r="AA239" s="406"/>
      <c r="AB239" s="406"/>
      <c r="AC239" s="406"/>
      <c r="AD239" s="406"/>
      <c r="AE239" s="406"/>
      <c r="AF239" s="406"/>
      <c r="AG239" s="406"/>
      <c r="AH239" s="406"/>
      <c r="AI239" s="406"/>
      <c r="AJ239" s="406"/>
      <c r="AK239" s="406"/>
      <c r="AL239" s="406"/>
      <c r="AM239" s="406"/>
      <c r="AN239" s="406"/>
      <c r="AO239" s="406"/>
      <c r="AP239" s="406"/>
      <c r="AQ239" s="406"/>
    </row>
    <row r="240" spans="1:43" s="407" customFormat="1" ht="12.75" x14ac:dyDescent="0.2">
      <c r="A240" s="406"/>
      <c r="B240" s="14" t="str">
        <f>IF(Tabla1[[#This Row],[Código_Actividad]]="","",CONCATENATE(Tabla1[[#This Row],[POA]],".",Tabla1[[#This Row],[SRS]],".",Tabla1[[#This Row],[AREA]],".",Tabla1[[#This Row],[TIPO]]))</f>
        <v/>
      </c>
      <c r="C240" s="14"/>
      <c r="D240" s="14"/>
      <c r="E240" s="14"/>
      <c r="F240" s="14"/>
      <c r="G240" s="265"/>
      <c r="H240" s="266" t="s">
        <v>543</v>
      </c>
      <c r="I240" s="266" t="s">
        <v>540</v>
      </c>
      <c r="J240" s="265">
        <v>1</v>
      </c>
      <c r="K240" s="268">
        <v>600</v>
      </c>
      <c r="L240" s="268">
        <f>+Tabla1[[#This Row],[Precio Unitario]]*Tabla1[[#This Row],[Cantidad de Insumos]]</f>
        <v>600</v>
      </c>
      <c r="M240" s="269" t="s">
        <v>529</v>
      </c>
      <c r="N240" s="266" t="s">
        <v>66</v>
      </c>
      <c r="O240" s="406"/>
      <c r="P240" s="406"/>
      <c r="Q240" s="406"/>
      <c r="R240" s="406"/>
      <c r="S240" s="406"/>
      <c r="T240" s="406"/>
      <c r="U240" s="406"/>
      <c r="V240" s="406"/>
      <c r="W240" s="406"/>
      <c r="X240" s="406"/>
      <c r="Y240" s="406"/>
      <c r="Z240" s="406"/>
      <c r="AA240" s="406"/>
      <c r="AB240" s="406"/>
      <c r="AC240" s="406"/>
      <c r="AD240" s="406"/>
      <c r="AE240" s="406"/>
      <c r="AF240" s="406"/>
      <c r="AG240" s="406"/>
      <c r="AH240" s="406"/>
      <c r="AI240" s="406"/>
      <c r="AJ240" s="406"/>
      <c r="AK240" s="406"/>
      <c r="AL240" s="406"/>
      <c r="AM240" s="406"/>
      <c r="AN240" s="406"/>
      <c r="AO240" s="406"/>
      <c r="AP240" s="406"/>
      <c r="AQ240" s="406"/>
    </row>
    <row r="241" spans="1:43" s="407" customFormat="1" ht="12.75" x14ac:dyDescent="0.2">
      <c r="A241" s="406"/>
      <c r="B241" s="14" t="str">
        <f>IF(Tabla1[[#This Row],[Código_Actividad]]="","",CONCATENATE(Tabla1[[#This Row],[POA]],".",Tabla1[[#This Row],[SRS]],".",Tabla1[[#This Row],[AREA]],".",Tabla1[[#This Row],[TIPO]]))</f>
        <v/>
      </c>
      <c r="C241" s="14"/>
      <c r="D241" s="14"/>
      <c r="E241" s="14"/>
      <c r="F241" s="14"/>
      <c r="G241" s="265"/>
      <c r="H241" s="266" t="s">
        <v>530</v>
      </c>
      <c r="I241" s="405" t="s">
        <v>526</v>
      </c>
      <c r="J241" s="265">
        <v>4</v>
      </c>
      <c r="K241" s="268">
        <v>30</v>
      </c>
      <c r="L241" s="268">
        <f>+Tabla1[[#This Row],[Precio Unitario]]*Tabla1[[#This Row],[Cantidad de Insumos]]</f>
        <v>120</v>
      </c>
      <c r="M241" s="269" t="s">
        <v>529</v>
      </c>
      <c r="N241" s="266" t="s">
        <v>66</v>
      </c>
      <c r="O241" s="406"/>
      <c r="P241" s="406"/>
      <c r="Q241" s="406"/>
      <c r="R241" s="406"/>
      <c r="S241" s="406"/>
      <c r="T241" s="406"/>
      <c r="U241" s="406"/>
      <c r="V241" s="406"/>
      <c r="W241" s="406"/>
      <c r="X241" s="406"/>
      <c r="Y241" s="406"/>
      <c r="Z241" s="406"/>
      <c r="AA241" s="406"/>
      <c r="AB241" s="406"/>
      <c r="AC241" s="406"/>
      <c r="AD241" s="406"/>
      <c r="AE241" s="406"/>
      <c r="AF241" s="406"/>
      <c r="AG241" s="406"/>
      <c r="AH241" s="406"/>
      <c r="AI241" s="406"/>
      <c r="AJ241" s="406"/>
      <c r="AK241" s="406"/>
      <c r="AL241" s="406"/>
      <c r="AM241" s="406"/>
      <c r="AN241" s="406"/>
      <c r="AO241" s="406"/>
      <c r="AP241" s="406"/>
      <c r="AQ241" s="406"/>
    </row>
    <row r="242" spans="1:43" s="407" customFormat="1" ht="12.75" x14ac:dyDescent="0.2">
      <c r="A242" s="406"/>
      <c r="B242" s="14" t="str">
        <f>IF(Tabla1[[#This Row],[Código_Actividad]]="","",CONCATENATE(Tabla1[[#This Row],[POA]],".",Tabla1[[#This Row],[SRS]],".",Tabla1[[#This Row],[AREA]],".",Tabla1[[#This Row],[TIPO]]))</f>
        <v/>
      </c>
      <c r="C242" s="14"/>
      <c r="D242" s="14"/>
      <c r="E242" s="14"/>
      <c r="F242" s="14"/>
      <c r="G242" s="265"/>
      <c r="H242" s="266" t="s">
        <v>531</v>
      </c>
      <c r="I242" s="405" t="s">
        <v>532</v>
      </c>
      <c r="J242" s="265">
        <v>1</v>
      </c>
      <c r="K242" s="268">
        <v>150</v>
      </c>
      <c r="L242" s="268">
        <f>+Tabla1[[#This Row],[Precio Unitario]]*Tabla1[[#This Row],[Cantidad de Insumos]]</f>
        <v>150</v>
      </c>
      <c r="M242" s="269" t="s">
        <v>533</v>
      </c>
      <c r="N242" s="266" t="s">
        <v>66</v>
      </c>
      <c r="O242" s="406"/>
      <c r="P242" s="406"/>
      <c r="Q242" s="406"/>
      <c r="R242" s="406"/>
      <c r="S242" s="406"/>
      <c r="T242" s="406"/>
      <c r="U242" s="406"/>
      <c r="V242" s="406"/>
      <c r="W242" s="406"/>
      <c r="X242" s="406"/>
      <c r="Y242" s="406"/>
      <c r="Z242" s="406"/>
      <c r="AA242" s="406"/>
      <c r="AB242" s="406"/>
      <c r="AC242" s="406"/>
      <c r="AD242" s="406"/>
      <c r="AE242" s="406"/>
      <c r="AF242" s="406"/>
      <c r="AG242" s="406"/>
      <c r="AH242" s="406"/>
      <c r="AI242" s="406"/>
      <c r="AJ242" s="406"/>
      <c r="AK242" s="406"/>
      <c r="AL242" s="406"/>
      <c r="AM242" s="406"/>
      <c r="AN242" s="406"/>
      <c r="AO242" s="406"/>
      <c r="AP242" s="406"/>
      <c r="AQ242" s="406"/>
    </row>
    <row r="243" spans="1:43" s="407" customFormat="1" ht="12.75" x14ac:dyDescent="0.2">
      <c r="A243" s="406"/>
      <c r="B243" s="14" t="str">
        <f>IF(Tabla1[[#This Row],[Código_Actividad]]="","",CONCATENATE(Tabla1[[#This Row],[POA]],".",Tabla1[[#This Row],[SRS]],".",Tabla1[[#This Row],[AREA]],".",Tabla1[[#This Row],[TIPO]]))</f>
        <v/>
      </c>
      <c r="C243" s="14"/>
      <c r="D243" s="14"/>
      <c r="E243" s="14"/>
      <c r="F243" s="14"/>
      <c r="G243" s="265"/>
      <c r="H243" s="266" t="s">
        <v>544</v>
      </c>
      <c r="I243" s="266" t="s">
        <v>540</v>
      </c>
      <c r="J243" s="265">
        <v>1</v>
      </c>
      <c r="K243" s="268">
        <v>1200</v>
      </c>
      <c r="L243" s="268">
        <f>+Tabla1[[#This Row],[Precio Unitario]]*Tabla1[[#This Row],[Cantidad de Insumos]]</f>
        <v>1200</v>
      </c>
      <c r="M243" s="269" t="s">
        <v>545</v>
      </c>
      <c r="N243" s="266" t="s">
        <v>66</v>
      </c>
      <c r="O243" s="406"/>
      <c r="P243" s="406"/>
      <c r="Q243" s="406"/>
      <c r="R243" s="406"/>
      <c r="S243" s="406"/>
      <c r="T243" s="406"/>
      <c r="U243" s="406"/>
      <c r="V243" s="406"/>
      <c r="W243" s="406"/>
      <c r="X243" s="406"/>
      <c r="Y243" s="406"/>
      <c r="Z243" s="406"/>
      <c r="AA243" s="406"/>
      <c r="AB243" s="406"/>
      <c r="AC243" s="406"/>
      <c r="AD243" s="406"/>
      <c r="AE243" s="406"/>
      <c r="AF243" s="406"/>
      <c r="AG243" s="406"/>
      <c r="AH243" s="406"/>
      <c r="AI243" s="406"/>
      <c r="AJ243" s="406"/>
      <c r="AK243" s="406"/>
      <c r="AL243" s="406"/>
      <c r="AM243" s="406"/>
      <c r="AN243" s="406"/>
      <c r="AO243" s="406"/>
      <c r="AP243" s="406"/>
      <c r="AQ243" s="406"/>
    </row>
    <row r="244" spans="1:43" s="407" customFormat="1" ht="12.75" x14ac:dyDescent="0.2">
      <c r="A244" s="406"/>
      <c r="B244" s="14" t="str">
        <f>IF(Tabla1[[#This Row],[Código_Actividad]]="","",CONCATENATE(Tabla1[[#This Row],[POA]],".",Tabla1[[#This Row],[SRS]],".",Tabla1[[#This Row],[AREA]],".",Tabla1[[#This Row],[TIPO]]))</f>
        <v/>
      </c>
      <c r="C244" s="14"/>
      <c r="D244" s="14"/>
      <c r="E244" s="14"/>
      <c r="F244" s="14"/>
      <c r="G244" s="265"/>
      <c r="H244" s="266" t="s">
        <v>546</v>
      </c>
      <c r="I244" s="266" t="s">
        <v>526</v>
      </c>
      <c r="J244" s="265">
        <v>1</v>
      </c>
      <c r="K244" s="268">
        <v>100</v>
      </c>
      <c r="L244" s="268">
        <f>+Tabla1[[#This Row],[Precio Unitario]]*Tabla1[[#This Row],[Cantidad de Insumos]]</f>
        <v>100</v>
      </c>
      <c r="M244" s="269" t="s">
        <v>529</v>
      </c>
      <c r="N244" s="266" t="s">
        <v>508</v>
      </c>
      <c r="O244" s="406"/>
      <c r="P244" s="406"/>
      <c r="Q244" s="406"/>
      <c r="R244" s="406"/>
      <c r="S244" s="406"/>
      <c r="T244" s="406"/>
      <c r="U244" s="406"/>
      <c r="V244" s="406"/>
      <c r="W244" s="406"/>
      <c r="X244" s="406"/>
      <c r="Y244" s="406"/>
      <c r="Z244" s="406"/>
      <c r="AA244" s="406"/>
      <c r="AB244" s="406"/>
      <c r="AC244" s="406"/>
      <c r="AD244" s="406"/>
      <c r="AE244" s="406"/>
      <c r="AF244" s="406"/>
      <c r="AG244" s="406"/>
      <c r="AH244" s="406"/>
      <c r="AI244" s="406"/>
      <c r="AJ244" s="406"/>
      <c r="AK244" s="406"/>
      <c r="AL244" s="406"/>
      <c r="AM244" s="406"/>
      <c r="AN244" s="406"/>
      <c r="AO244" s="406"/>
      <c r="AP244" s="406"/>
      <c r="AQ244" s="406"/>
    </row>
    <row r="245" spans="1:43" s="407" customFormat="1" ht="12.75" x14ac:dyDescent="0.2">
      <c r="A245" s="406"/>
      <c r="B245" s="14" t="str">
        <f>IF(Tabla1[[#This Row],[Código_Actividad]]="","",CONCATENATE(Tabla1[[#This Row],[POA]],".",Tabla1[[#This Row],[SRS]],".",Tabla1[[#This Row],[AREA]],".",Tabla1[[#This Row],[TIPO]]))</f>
        <v>...</v>
      </c>
      <c r="C245" s="14" t="s">
        <v>523</v>
      </c>
      <c r="D245" s="14" t="s">
        <v>523</v>
      </c>
      <c r="E245" s="14" t="s">
        <v>523</v>
      </c>
      <c r="F245" s="14" t="s">
        <v>523</v>
      </c>
      <c r="G245" s="265" t="s">
        <v>476</v>
      </c>
      <c r="H245" s="266" t="s">
        <v>525</v>
      </c>
      <c r="I245" s="266" t="s">
        <v>526</v>
      </c>
      <c r="J245" s="265">
        <v>1</v>
      </c>
      <c r="K245" s="267">
        <v>35000</v>
      </c>
      <c r="L245" s="268">
        <f>+Tabla1[[#This Row],[Precio Unitario]]*Tabla1[[#This Row],[Cantidad de Insumos]]</f>
        <v>35000</v>
      </c>
      <c r="M245" s="269" t="s">
        <v>527</v>
      </c>
      <c r="N245" s="266" t="s">
        <v>508</v>
      </c>
      <c r="O245" s="406"/>
      <c r="P245" s="406"/>
      <c r="Q245" s="406"/>
      <c r="R245" s="406"/>
      <c r="S245" s="406"/>
      <c r="T245" s="406"/>
      <c r="U245" s="406"/>
      <c r="V245" s="406"/>
      <c r="W245" s="406"/>
      <c r="X245" s="406"/>
      <c r="Y245" s="406"/>
      <c r="Z245" s="406"/>
      <c r="AA245" s="406"/>
      <c r="AB245" s="406"/>
      <c r="AC245" s="406"/>
      <c r="AD245" s="406"/>
      <c r="AE245" s="406"/>
      <c r="AF245" s="406"/>
      <c r="AG245" s="406"/>
      <c r="AH245" s="406"/>
      <c r="AI245" s="406"/>
      <c r="AJ245" s="406"/>
      <c r="AK245" s="406"/>
      <c r="AL245" s="406"/>
      <c r="AM245" s="406"/>
      <c r="AN245" s="406"/>
      <c r="AO245" s="406"/>
      <c r="AP245" s="406"/>
      <c r="AQ245" s="406"/>
    </row>
    <row r="246" spans="1:43" s="407" customFormat="1" ht="12.75" x14ac:dyDescent="0.2">
      <c r="A246" s="406"/>
      <c r="B246" s="14" t="str">
        <f>IF(Tabla1[[#This Row],[Código_Actividad]]="","",CONCATENATE(Tabla1[[#This Row],[POA]],".",Tabla1[[#This Row],[SRS]],".",Tabla1[[#This Row],[AREA]],".",Tabla1[[#This Row],[TIPO]]))</f>
        <v/>
      </c>
      <c r="C246" s="14"/>
      <c r="D246" s="14"/>
      <c r="E246" s="14"/>
      <c r="F246" s="14"/>
      <c r="G246" s="265"/>
      <c r="H246" s="266" t="s">
        <v>534</v>
      </c>
      <c r="I246" s="266" t="s">
        <v>526</v>
      </c>
      <c r="J246" s="265">
        <v>1</v>
      </c>
      <c r="K246" s="268">
        <v>1400</v>
      </c>
      <c r="L246" s="268">
        <f>+Tabla1[[#This Row],[Precio Unitario]]*Tabla1[[#This Row],[Cantidad de Insumos]]</f>
        <v>1400</v>
      </c>
      <c r="M246" s="269" t="s">
        <v>529</v>
      </c>
      <c r="N246" s="266" t="s">
        <v>66</v>
      </c>
      <c r="O246" s="406"/>
      <c r="P246" s="406"/>
      <c r="Q246" s="406"/>
      <c r="R246" s="406"/>
      <c r="S246" s="406"/>
      <c r="T246" s="406"/>
      <c r="U246" s="406"/>
      <c r="V246" s="406"/>
      <c r="W246" s="406"/>
      <c r="X246" s="406"/>
      <c r="Y246" s="406"/>
      <c r="Z246" s="406"/>
      <c r="AA246" s="406"/>
      <c r="AB246" s="406"/>
      <c r="AC246" s="406"/>
      <c r="AD246" s="406"/>
      <c r="AE246" s="406"/>
      <c r="AF246" s="406"/>
      <c r="AG246" s="406"/>
      <c r="AH246" s="406"/>
      <c r="AI246" s="406"/>
      <c r="AJ246" s="406"/>
      <c r="AK246" s="406"/>
      <c r="AL246" s="406"/>
      <c r="AM246" s="406"/>
      <c r="AN246" s="406"/>
      <c r="AO246" s="406"/>
      <c r="AP246" s="406"/>
      <c r="AQ246" s="406"/>
    </row>
    <row r="247" spans="1:43" s="407" customFormat="1" ht="12.75" x14ac:dyDescent="0.2">
      <c r="A247" s="406"/>
      <c r="B247" s="14" t="str">
        <f>IF(Tabla1[[#This Row],[Código_Actividad]]="","",CONCATENATE(Tabla1[[#This Row],[POA]],".",Tabla1[[#This Row],[SRS]],".",Tabla1[[#This Row],[AREA]],".",Tabla1[[#This Row],[TIPO]]))</f>
        <v/>
      </c>
      <c r="C247" s="14"/>
      <c r="D247" s="14"/>
      <c r="E247" s="14"/>
      <c r="F247" s="14"/>
      <c r="G247" s="265"/>
      <c r="H247" s="266" t="s">
        <v>535</v>
      </c>
      <c r="I247" s="266" t="s">
        <v>536</v>
      </c>
      <c r="J247" s="265">
        <v>1</v>
      </c>
      <c r="K247" s="268">
        <v>500</v>
      </c>
      <c r="L247" s="268">
        <f>+Tabla1[[#This Row],[Precio Unitario]]*Tabla1[[#This Row],[Cantidad de Insumos]]</f>
        <v>500</v>
      </c>
      <c r="M247" s="269" t="s">
        <v>533</v>
      </c>
      <c r="N247" s="266" t="s">
        <v>66</v>
      </c>
      <c r="O247" s="406"/>
      <c r="P247" s="406"/>
      <c r="Q247" s="406"/>
      <c r="R247" s="406"/>
      <c r="S247" s="406"/>
      <c r="T247" s="406"/>
      <c r="U247" s="406"/>
      <c r="V247" s="406"/>
      <c r="W247" s="406"/>
      <c r="X247" s="406"/>
      <c r="Y247" s="406"/>
      <c r="Z247" s="406"/>
      <c r="AA247" s="406"/>
      <c r="AB247" s="406"/>
      <c r="AC247" s="406"/>
      <c r="AD247" s="406"/>
      <c r="AE247" s="406"/>
      <c r="AF247" s="406"/>
      <c r="AG247" s="406"/>
      <c r="AH247" s="406"/>
      <c r="AI247" s="406"/>
      <c r="AJ247" s="406"/>
      <c r="AK247" s="406"/>
      <c r="AL247" s="406"/>
      <c r="AM247" s="406"/>
      <c r="AN247" s="406"/>
      <c r="AO247" s="406"/>
      <c r="AP247" s="406"/>
      <c r="AQ247" s="406"/>
    </row>
    <row r="248" spans="1:43" s="407" customFormat="1" ht="12.75" x14ac:dyDescent="0.2">
      <c r="A248" s="406"/>
      <c r="B248" s="14" t="str">
        <f>IF(Tabla1[[#This Row],[Código_Actividad]]="","",CONCATENATE(Tabla1[[#This Row],[POA]],".",Tabla1[[#This Row],[SRS]],".",Tabla1[[#This Row],[AREA]],".",Tabla1[[#This Row],[TIPO]]))</f>
        <v/>
      </c>
      <c r="C248" s="14"/>
      <c r="D248" s="14"/>
      <c r="E248" s="14"/>
      <c r="F248" s="14"/>
      <c r="G248" s="265"/>
      <c r="H248" s="266" t="s">
        <v>537</v>
      </c>
      <c r="I248" s="266" t="s">
        <v>526</v>
      </c>
      <c r="J248" s="265">
        <v>1</v>
      </c>
      <c r="K248" s="268">
        <v>180</v>
      </c>
      <c r="L248" s="268">
        <f>+Tabla1[[#This Row],[Precio Unitario]]*Tabla1[[#This Row],[Cantidad de Insumos]]</f>
        <v>180</v>
      </c>
      <c r="M248" s="269" t="s">
        <v>538</v>
      </c>
      <c r="N248" s="266" t="s">
        <v>66</v>
      </c>
      <c r="O248" s="406"/>
      <c r="P248" s="406"/>
      <c r="Q248" s="406"/>
      <c r="R248" s="406"/>
      <c r="S248" s="406"/>
      <c r="T248" s="406"/>
      <c r="U248" s="406"/>
      <c r="V248" s="406"/>
      <c r="W248" s="406"/>
      <c r="X248" s="406"/>
      <c r="Y248" s="406"/>
      <c r="Z248" s="406"/>
      <c r="AA248" s="406"/>
      <c r="AB248" s="406"/>
      <c r="AC248" s="406"/>
      <c r="AD248" s="406"/>
      <c r="AE248" s="406"/>
      <c r="AF248" s="406"/>
      <c r="AG248" s="406"/>
      <c r="AH248" s="406"/>
      <c r="AI248" s="406"/>
      <c r="AJ248" s="406"/>
      <c r="AK248" s="406"/>
      <c r="AL248" s="406"/>
      <c r="AM248" s="406"/>
      <c r="AN248" s="406"/>
      <c r="AO248" s="406"/>
      <c r="AP248" s="406"/>
      <c r="AQ248" s="406"/>
    </row>
    <row r="249" spans="1:43" s="407" customFormat="1" ht="12.75" x14ac:dyDescent="0.2">
      <c r="A249" s="406"/>
      <c r="B249" s="14" t="str">
        <f>IF(Tabla1[[#This Row],[Código_Actividad]]="","",CONCATENATE(Tabla1[[#This Row],[POA]],".",Tabla1[[#This Row],[SRS]],".",Tabla1[[#This Row],[AREA]],".",Tabla1[[#This Row],[TIPO]]))</f>
        <v/>
      </c>
      <c r="C249" s="14"/>
      <c r="D249" s="14"/>
      <c r="E249" s="14"/>
      <c r="F249" s="14"/>
      <c r="G249" s="265"/>
      <c r="H249" s="266" t="s">
        <v>539</v>
      </c>
      <c r="I249" s="266" t="s">
        <v>540</v>
      </c>
      <c r="J249" s="265">
        <v>1</v>
      </c>
      <c r="K249" s="268">
        <v>120</v>
      </c>
      <c r="L249" s="268">
        <f>+Tabla1[[#This Row],[Precio Unitario]]*Tabla1[[#This Row],[Cantidad de Insumos]]</f>
        <v>120</v>
      </c>
      <c r="M249" s="269" t="s">
        <v>529</v>
      </c>
      <c r="N249" s="266" t="s">
        <v>66</v>
      </c>
      <c r="O249" s="406"/>
      <c r="P249" s="406"/>
      <c r="Q249" s="406"/>
      <c r="R249" s="406"/>
      <c r="S249" s="406"/>
      <c r="T249" s="406"/>
      <c r="U249" s="406"/>
      <c r="V249" s="406"/>
      <c r="W249" s="406"/>
      <c r="X249" s="406"/>
      <c r="Y249" s="406"/>
      <c r="Z249" s="406"/>
      <c r="AA249" s="406"/>
      <c r="AB249" s="406"/>
      <c r="AC249" s="406"/>
      <c r="AD249" s="406"/>
      <c r="AE249" s="406"/>
      <c r="AF249" s="406"/>
      <c r="AG249" s="406"/>
      <c r="AH249" s="406"/>
      <c r="AI249" s="406"/>
      <c r="AJ249" s="406"/>
      <c r="AK249" s="406"/>
      <c r="AL249" s="406"/>
      <c r="AM249" s="406"/>
      <c r="AN249" s="406"/>
      <c r="AO249" s="406"/>
      <c r="AP249" s="406"/>
      <c r="AQ249" s="406"/>
    </row>
    <row r="250" spans="1:43" s="407" customFormat="1" ht="12.75" x14ac:dyDescent="0.2">
      <c r="A250" s="406"/>
      <c r="B250" s="14" t="str">
        <f>IF(Tabla1[[#This Row],[Código_Actividad]]="","",CONCATENATE(Tabla1[[#This Row],[POA]],".",Tabla1[[#This Row],[SRS]],".",Tabla1[[#This Row],[AREA]],".",Tabla1[[#This Row],[TIPO]]))</f>
        <v/>
      </c>
      <c r="C250" s="14"/>
      <c r="D250" s="14"/>
      <c r="E250" s="14"/>
      <c r="F250" s="14"/>
      <c r="G250" s="265"/>
      <c r="H250" s="266" t="s">
        <v>541</v>
      </c>
      <c r="I250" s="266" t="s">
        <v>526</v>
      </c>
      <c r="J250" s="265">
        <v>1</v>
      </c>
      <c r="K250" s="268">
        <v>4500</v>
      </c>
      <c r="L250" s="268">
        <f>+Tabla1[[#This Row],[Precio Unitario]]*Tabla1[[#This Row],[Cantidad de Insumos]]</f>
        <v>4500</v>
      </c>
      <c r="M250" s="269" t="s">
        <v>542</v>
      </c>
      <c r="N250" s="266" t="s">
        <v>66</v>
      </c>
      <c r="O250" s="406"/>
      <c r="P250" s="406"/>
      <c r="Q250" s="406"/>
      <c r="R250" s="406"/>
      <c r="S250" s="406"/>
      <c r="T250" s="406"/>
      <c r="U250" s="406"/>
      <c r="V250" s="406"/>
      <c r="W250" s="406"/>
      <c r="X250" s="406"/>
      <c r="Y250" s="406"/>
      <c r="Z250" s="406"/>
      <c r="AA250" s="406"/>
      <c r="AB250" s="406"/>
      <c r="AC250" s="406"/>
      <c r="AD250" s="406"/>
      <c r="AE250" s="406"/>
      <c r="AF250" s="406"/>
      <c r="AG250" s="406"/>
      <c r="AH250" s="406"/>
      <c r="AI250" s="406"/>
      <c r="AJ250" s="406"/>
      <c r="AK250" s="406"/>
      <c r="AL250" s="406"/>
      <c r="AM250" s="406"/>
      <c r="AN250" s="406"/>
      <c r="AO250" s="406"/>
      <c r="AP250" s="406"/>
      <c r="AQ250" s="406"/>
    </row>
    <row r="251" spans="1:43" s="407" customFormat="1" ht="12.75" x14ac:dyDescent="0.2">
      <c r="A251" s="406"/>
      <c r="B251" s="14" t="str">
        <f>IF(Tabla1[[#This Row],[Código_Actividad]]="","",CONCATENATE(Tabla1[[#This Row],[POA]],".",Tabla1[[#This Row],[SRS]],".",Tabla1[[#This Row],[AREA]],".",Tabla1[[#This Row],[TIPO]]))</f>
        <v/>
      </c>
      <c r="C251" s="14"/>
      <c r="D251" s="14"/>
      <c r="E251" s="14"/>
      <c r="F251" s="14"/>
      <c r="G251" s="265"/>
      <c r="H251" s="266" t="s">
        <v>543</v>
      </c>
      <c r="I251" s="266" t="s">
        <v>540</v>
      </c>
      <c r="J251" s="265">
        <v>1</v>
      </c>
      <c r="K251" s="268">
        <v>600</v>
      </c>
      <c r="L251" s="268">
        <f>+Tabla1[[#This Row],[Precio Unitario]]*Tabla1[[#This Row],[Cantidad de Insumos]]</f>
        <v>600</v>
      </c>
      <c r="M251" s="269" t="s">
        <v>529</v>
      </c>
      <c r="N251" s="266" t="s">
        <v>66</v>
      </c>
      <c r="O251" s="406"/>
      <c r="P251" s="406"/>
      <c r="Q251" s="406"/>
      <c r="R251" s="406"/>
      <c r="S251" s="406"/>
      <c r="T251" s="406"/>
      <c r="U251" s="406"/>
      <c r="V251" s="406"/>
      <c r="W251" s="406"/>
      <c r="X251" s="406"/>
      <c r="Y251" s="406"/>
      <c r="Z251" s="406"/>
      <c r="AA251" s="406"/>
      <c r="AB251" s="406"/>
      <c r="AC251" s="406"/>
      <c r="AD251" s="406"/>
      <c r="AE251" s="406"/>
      <c r="AF251" s="406"/>
      <c r="AG251" s="406"/>
      <c r="AH251" s="406"/>
      <c r="AI251" s="406"/>
      <c r="AJ251" s="406"/>
      <c r="AK251" s="406"/>
      <c r="AL251" s="406"/>
      <c r="AM251" s="406"/>
      <c r="AN251" s="406"/>
      <c r="AO251" s="406"/>
      <c r="AP251" s="406"/>
      <c r="AQ251" s="406"/>
    </row>
    <row r="252" spans="1:43" s="407" customFormat="1" ht="12.75" x14ac:dyDescent="0.2">
      <c r="A252" s="406"/>
      <c r="B252" s="14" t="str">
        <f>IF(Tabla1[[#This Row],[Código_Actividad]]="","",CONCATENATE(Tabla1[[#This Row],[POA]],".",Tabla1[[#This Row],[SRS]],".",Tabla1[[#This Row],[AREA]],".",Tabla1[[#This Row],[TIPO]]))</f>
        <v/>
      </c>
      <c r="C252" s="14"/>
      <c r="D252" s="14"/>
      <c r="E252" s="14"/>
      <c r="F252" s="14"/>
      <c r="G252" s="265"/>
      <c r="H252" s="266" t="s">
        <v>530</v>
      </c>
      <c r="I252" s="405" t="s">
        <v>526</v>
      </c>
      <c r="J252" s="265">
        <v>4</v>
      </c>
      <c r="K252" s="268">
        <v>30</v>
      </c>
      <c r="L252" s="268">
        <f>+Tabla1[[#This Row],[Precio Unitario]]*Tabla1[[#This Row],[Cantidad de Insumos]]</f>
        <v>120</v>
      </c>
      <c r="M252" s="269" t="s">
        <v>529</v>
      </c>
      <c r="N252" s="266" t="s">
        <v>66</v>
      </c>
      <c r="O252" s="406"/>
      <c r="P252" s="406"/>
      <c r="Q252" s="406"/>
      <c r="R252" s="406"/>
      <c r="S252" s="406"/>
      <c r="T252" s="406"/>
      <c r="U252" s="406"/>
      <c r="V252" s="406"/>
      <c r="W252" s="406"/>
      <c r="X252" s="406"/>
      <c r="Y252" s="406"/>
      <c r="Z252" s="406"/>
      <c r="AA252" s="406"/>
      <c r="AB252" s="406"/>
      <c r="AC252" s="406"/>
      <c r="AD252" s="406"/>
      <c r="AE252" s="406"/>
      <c r="AF252" s="406"/>
      <c r="AG252" s="406"/>
      <c r="AH252" s="406"/>
      <c r="AI252" s="406"/>
      <c r="AJ252" s="406"/>
      <c r="AK252" s="406"/>
      <c r="AL252" s="406"/>
      <c r="AM252" s="406"/>
      <c r="AN252" s="406"/>
      <c r="AO252" s="406"/>
      <c r="AP252" s="406"/>
      <c r="AQ252" s="406"/>
    </row>
    <row r="253" spans="1:43" s="407" customFormat="1" ht="12.75" x14ac:dyDescent="0.2">
      <c r="A253" s="406"/>
      <c r="B253" s="14" t="str">
        <f>IF(Tabla1[[#This Row],[Código_Actividad]]="","",CONCATENATE(Tabla1[[#This Row],[POA]],".",Tabla1[[#This Row],[SRS]],".",Tabla1[[#This Row],[AREA]],".",Tabla1[[#This Row],[TIPO]]))</f>
        <v/>
      </c>
      <c r="C253" s="14"/>
      <c r="D253" s="14"/>
      <c r="E253" s="14"/>
      <c r="F253" s="14"/>
      <c r="G253" s="265"/>
      <c r="H253" s="266" t="s">
        <v>531</v>
      </c>
      <c r="I253" s="405" t="s">
        <v>532</v>
      </c>
      <c r="J253" s="265">
        <v>1</v>
      </c>
      <c r="K253" s="268">
        <v>150</v>
      </c>
      <c r="L253" s="268">
        <f>+Tabla1[[#This Row],[Precio Unitario]]*Tabla1[[#This Row],[Cantidad de Insumos]]</f>
        <v>150</v>
      </c>
      <c r="M253" s="269" t="s">
        <v>533</v>
      </c>
      <c r="N253" s="266" t="s">
        <v>66</v>
      </c>
      <c r="O253" s="406"/>
      <c r="P253" s="406"/>
      <c r="Q253" s="406"/>
      <c r="R253" s="406"/>
      <c r="S253" s="406"/>
      <c r="T253" s="406"/>
      <c r="U253" s="406"/>
      <c r="V253" s="406"/>
      <c r="W253" s="406"/>
      <c r="X253" s="406"/>
      <c r="Y253" s="406"/>
      <c r="Z253" s="406"/>
      <c r="AA253" s="406"/>
      <c r="AB253" s="406"/>
      <c r="AC253" s="406"/>
      <c r="AD253" s="406"/>
      <c r="AE253" s="406"/>
      <c r="AF253" s="406"/>
      <c r="AG253" s="406"/>
      <c r="AH253" s="406"/>
      <c r="AI253" s="406"/>
      <c r="AJ253" s="406"/>
      <c r="AK253" s="406"/>
      <c r="AL253" s="406"/>
      <c r="AM253" s="406"/>
      <c r="AN253" s="406"/>
      <c r="AO253" s="406"/>
      <c r="AP253" s="406"/>
      <c r="AQ253" s="406"/>
    </row>
    <row r="254" spans="1:43" s="407" customFormat="1" ht="12.75" x14ac:dyDescent="0.2">
      <c r="A254" s="406"/>
      <c r="B254" s="14" t="str">
        <f>IF(Tabla1[[#This Row],[Código_Actividad]]="","",CONCATENATE(Tabla1[[#This Row],[POA]],".",Tabla1[[#This Row],[SRS]],".",Tabla1[[#This Row],[AREA]],".",Tabla1[[#This Row],[TIPO]]))</f>
        <v/>
      </c>
      <c r="C254" s="14"/>
      <c r="D254" s="14"/>
      <c r="E254" s="14"/>
      <c r="F254" s="14"/>
      <c r="G254" s="265"/>
      <c r="H254" s="266" t="s">
        <v>544</v>
      </c>
      <c r="I254" s="266" t="s">
        <v>540</v>
      </c>
      <c r="J254" s="265">
        <v>1</v>
      </c>
      <c r="K254" s="268">
        <v>1200</v>
      </c>
      <c r="L254" s="268">
        <f>+Tabla1[[#This Row],[Precio Unitario]]*Tabla1[[#This Row],[Cantidad de Insumos]]</f>
        <v>1200</v>
      </c>
      <c r="M254" s="269" t="s">
        <v>545</v>
      </c>
      <c r="N254" s="266" t="s">
        <v>66</v>
      </c>
      <c r="O254" s="406"/>
      <c r="P254" s="406"/>
      <c r="Q254" s="406"/>
      <c r="R254" s="406"/>
      <c r="S254" s="406"/>
      <c r="T254" s="406"/>
      <c r="U254" s="406"/>
      <c r="V254" s="406"/>
      <c r="W254" s="406"/>
      <c r="X254" s="406"/>
      <c r="Y254" s="406"/>
      <c r="Z254" s="406"/>
      <c r="AA254" s="406"/>
      <c r="AB254" s="406"/>
      <c r="AC254" s="406"/>
      <c r="AD254" s="406"/>
      <c r="AE254" s="406"/>
      <c r="AF254" s="406"/>
      <c r="AG254" s="406"/>
      <c r="AH254" s="406"/>
      <c r="AI254" s="406"/>
      <c r="AJ254" s="406"/>
      <c r="AK254" s="406"/>
      <c r="AL254" s="406"/>
      <c r="AM254" s="406"/>
      <c r="AN254" s="406"/>
      <c r="AO254" s="406"/>
      <c r="AP254" s="406"/>
      <c r="AQ254" s="406"/>
    </row>
    <row r="255" spans="1:43" s="407" customFormat="1" ht="12.75" x14ac:dyDescent="0.2">
      <c r="A255" s="406"/>
      <c r="B255" s="14" t="str">
        <f>IF(Tabla1[[#This Row],[Código_Actividad]]="","",CONCATENATE(Tabla1[[#This Row],[POA]],".",Tabla1[[#This Row],[SRS]],".",Tabla1[[#This Row],[AREA]],".",Tabla1[[#This Row],[TIPO]]))</f>
        <v/>
      </c>
      <c r="C255" s="14"/>
      <c r="D255" s="14"/>
      <c r="E255" s="14"/>
      <c r="F255" s="14"/>
      <c r="G255" s="265"/>
      <c r="H255" s="266" t="s">
        <v>546</v>
      </c>
      <c r="I255" s="266" t="s">
        <v>526</v>
      </c>
      <c r="J255" s="265">
        <v>1</v>
      </c>
      <c r="K255" s="268">
        <v>100</v>
      </c>
      <c r="L255" s="268">
        <f>+Tabla1[[#This Row],[Precio Unitario]]*Tabla1[[#This Row],[Cantidad de Insumos]]</f>
        <v>100</v>
      </c>
      <c r="M255" s="269" t="s">
        <v>529</v>
      </c>
      <c r="N255" s="266" t="s">
        <v>508</v>
      </c>
      <c r="O255" s="406"/>
      <c r="P255" s="406"/>
      <c r="Q255" s="406"/>
      <c r="R255" s="406"/>
      <c r="S255" s="406"/>
      <c r="T255" s="406"/>
      <c r="U255" s="406"/>
      <c r="V255" s="406"/>
      <c r="W255" s="406"/>
      <c r="X255" s="406"/>
      <c r="Y255" s="406"/>
      <c r="Z255" s="406"/>
      <c r="AA255" s="406"/>
      <c r="AB255" s="406"/>
      <c r="AC255" s="406"/>
      <c r="AD255" s="406"/>
      <c r="AE255" s="406"/>
      <c r="AF255" s="406"/>
      <c r="AG255" s="406"/>
      <c r="AH255" s="406"/>
      <c r="AI255" s="406"/>
      <c r="AJ255" s="406"/>
      <c r="AK255" s="406"/>
      <c r="AL255" s="406"/>
      <c r="AM255" s="406"/>
      <c r="AN255" s="406"/>
      <c r="AO255" s="406"/>
      <c r="AP255" s="406"/>
      <c r="AQ255" s="406"/>
    </row>
    <row r="256" spans="1:43" s="407" customFormat="1" ht="12.75" x14ac:dyDescent="0.2">
      <c r="A256" s="406"/>
      <c r="B256" s="14" t="str">
        <f>IF(Tabla1[[#This Row],[Código_Actividad]]="","",CONCATENATE(Tabla1[[#This Row],[POA]],".",Tabla1[[#This Row],[SRS]],".",Tabla1[[#This Row],[AREA]],".",Tabla1[[#This Row],[TIPO]]))</f>
        <v>...</v>
      </c>
      <c r="C256" s="14" t="s">
        <v>523</v>
      </c>
      <c r="D256" s="14" t="s">
        <v>523</v>
      </c>
      <c r="E256" s="14" t="s">
        <v>523</v>
      </c>
      <c r="F256" s="14" t="s">
        <v>523</v>
      </c>
      <c r="G256" s="265" t="s">
        <v>479</v>
      </c>
      <c r="H256" s="266" t="s">
        <v>525</v>
      </c>
      <c r="I256" s="266" t="s">
        <v>526</v>
      </c>
      <c r="J256" s="265">
        <v>1</v>
      </c>
      <c r="K256" s="267">
        <v>35000</v>
      </c>
      <c r="L256" s="268">
        <f>+Tabla1[[#This Row],[Precio Unitario]]*Tabla1[[#This Row],[Cantidad de Insumos]]</f>
        <v>35000</v>
      </c>
      <c r="M256" s="269" t="s">
        <v>527</v>
      </c>
      <c r="N256" s="266" t="s">
        <v>508</v>
      </c>
      <c r="O256" s="406"/>
      <c r="P256" s="406"/>
      <c r="Q256" s="406"/>
      <c r="R256" s="406"/>
      <c r="S256" s="406"/>
      <c r="T256" s="406"/>
      <c r="U256" s="406"/>
      <c r="V256" s="406"/>
      <c r="W256" s="406"/>
      <c r="X256" s="406"/>
      <c r="Y256" s="406"/>
      <c r="Z256" s="406"/>
      <c r="AA256" s="406"/>
      <c r="AB256" s="406"/>
      <c r="AC256" s="406"/>
      <c r="AD256" s="406"/>
      <c r="AE256" s="406"/>
      <c r="AF256" s="406"/>
      <c r="AG256" s="406"/>
      <c r="AH256" s="406"/>
      <c r="AI256" s="406"/>
      <c r="AJ256" s="406"/>
      <c r="AK256" s="406"/>
      <c r="AL256" s="406"/>
      <c r="AM256" s="406"/>
      <c r="AN256" s="406"/>
      <c r="AO256" s="406"/>
      <c r="AP256" s="406"/>
      <c r="AQ256" s="406"/>
    </row>
    <row r="257" spans="1:43" s="407" customFormat="1" ht="12.75" x14ac:dyDescent="0.2">
      <c r="A257" s="406"/>
      <c r="B257" s="14" t="str">
        <f>IF(Tabla1[[#This Row],[Código_Actividad]]="","",CONCATENATE(Tabla1[[#This Row],[POA]],".",Tabla1[[#This Row],[SRS]],".",Tabla1[[#This Row],[AREA]],".",Tabla1[[#This Row],[TIPO]]))</f>
        <v/>
      </c>
      <c r="C257" s="14"/>
      <c r="D257" s="14"/>
      <c r="E257" s="14"/>
      <c r="F257" s="14"/>
      <c r="G257" s="265"/>
      <c r="H257" s="266" t="s">
        <v>547</v>
      </c>
      <c r="I257" s="266" t="s">
        <v>526</v>
      </c>
      <c r="J257" s="265">
        <v>1</v>
      </c>
      <c r="K257" s="268">
        <v>60000</v>
      </c>
      <c r="L257" s="268">
        <f>+Tabla1[[#This Row],[Precio Unitario]]*Tabla1[[#This Row],[Cantidad de Insumos]]</f>
        <v>60000</v>
      </c>
      <c r="M257" s="269" t="s">
        <v>527</v>
      </c>
      <c r="N257" s="266" t="s">
        <v>508</v>
      </c>
      <c r="O257" s="406"/>
      <c r="P257" s="406"/>
      <c r="Q257" s="406"/>
      <c r="R257" s="406"/>
      <c r="S257" s="406"/>
      <c r="T257" s="406"/>
      <c r="U257" s="406"/>
      <c r="V257" s="406"/>
      <c r="W257" s="406"/>
      <c r="X257" s="406"/>
      <c r="Y257" s="406"/>
      <c r="Z257" s="406"/>
      <c r="AA257" s="406"/>
      <c r="AB257" s="406"/>
      <c r="AC257" s="406"/>
      <c r="AD257" s="406"/>
      <c r="AE257" s="406"/>
      <c r="AF257" s="406"/>
      <c r="AG257" s="406"/>
      <c r="AH257" s="406"/>
      <c r="AI257" s="406"/>
      <c r="AJ257" s="406"/>
      <c r="AK257" s="406"/>
      <c r="AL257" s="406"/>
      <c r="AM257" s="406"/>
      <c r="AN257" s="406"/>
      <c r="AO257" s="406"/>
      <c r="AP257" s="406"/>
      <c r="AQ257" s="406"/>
    </row>
    <row r="258" spans="1:43" s="407" customFormat="1" ht="12.75" x14ac:dyDescent="0.2">
      <c r="A258" s="406"/>
      <c r="B258" s="14" t="str">
        <f>IF(Tabla1[[#This Row],[Código_Actividad]]="","",CONCATENATE(Tabla1[[#This Row],[POA]],".",Tabla1[[#This Row],[SRS]],".",Tabla1[[#This Row],[AREA]],".",Tabla1[[#This Row],[TIPO]]))</f>
        <v/>
      </c>
      <c r="C258" s="14"/>
      <c r="D258" s="14"/>
      <c r="E258" s="14"/>
      <c r="F258" s="14"/>
      <c r="G258" s="265"/>
      <c r="H258" s="266" t="s">
        <v>534</v>
      </c>
      <c r="I258" s="266" t="s">
        <v>526</v>
      </c>
      <c r="J258" s="265">
        <v>1</v>
      </c>
      <c r="K258" s="268">
        <v>1400</v>
      </c>
      <c r="L258" s="268">
        <f>+Tabla1[[#This Row],[Precio Unitario]]*Tabla1[[#This Row],[Cantidad de Insumos]]</f>
        <v>1400</v>
      </c>
      <c r="M258" s="269" t="s">
        <v>529</v>
      </c>
      <c r="N258" s="266" t="s">
        <v>66</v>
      </c>
      <c r="O258" s="406"/>
      <c r="P258" s="406"/>
      <c r="Q258" s="406"/>
      <c r="R258" s="406"/>
      <c r="S258" s="406"/>
      <c r="T258" s="406"/>
      <c r="U258" s="406"/>
      <c r="V258" s="406"/>
      <c r="W258" s="406"/>
      <c r="X258" s="406"/>
      <c r="Y258" s="406"/>
      <c r="Z258" s="406"/>
      <c r="AA258" s="406"/>
      <c r="AB258" s="406"/>
      <c r="AC258" s="406"/>
      <c r="AD258" s="406"/>
      <c r="AE258" s="406"/>
      <c r="AF258" s="406"/>
      <c r="AG258" s="406"/>
      <c r="AH258" s="406"/>
      <c r="AI258" s="406"/>
      <c r="AJ258" s="406"/>
      <c r="AK258" s="406"/>
      <c r="AL258" s="406"/>
      <c r="AM258" s="406"/>
      <c r="AN258" s="406"/>
      <c r="AO258" s="406"/>
      <c r="AP258" s="406"/>
      <c r="AQ258" s="406"/>
    </row>
    <row r="259" spans="1:43" s="407" customFormat="1" ht="12.75" x14ac:dyDescent="0.2">
      <c r="A259" s="406"/>
      <c r="B259" s="14" t="str">
        <f>IF(Tabla1[[#This Row],[Código_Actividad]]="","",CONCATENATE(Tabla1[[#This Row],[POA]],".",Tabla1[[#This Row],[SRS]],".",Tabla1[[#This Row],[AREA]],".",Tabla1[[#This Row],[TIPO]]))</f>
        <v/>
      </c>
      <c r="C259" s="14"/>
      <c r="D259" s="14"/>
      <c r="E259" s="14"/>
      <c r="F259" s="14"/>
      <c r="G259" s="265"/>
      <c r="H259" s="266" t="s">
        <v>535</v>
      </c>
      <c r="I259" s="266" t="s">
        <v>536</v>
      </c>
      <c r="J259" s="265">
        <v>1</v>
      </c>
      <c r="K259" s="268">
        <v>500</v>
      </c>
      <c r="L259" s="268">
        <f>+Tabla1[[#This Row],[Precio Unitario]]*Tabla1[[#This Row],[Cantidad de Insumos]]</f>
        <v>500</v>
      </c>
      <c r="M259" s="269" t="s">
        <v>533</v>
      </c>
      <c r="N259" s="266" t="s">
        <v>66</v>
      </c>
      <c r="O259" s="406"/>
      <c r="P259" s="406"/>
      <c r="Q259" s="406"/>
      <c r="R259" s="406"/>
      <c r="S259" s="406"/>
      <c r="T259" s="406"/>
      <c r="U259" s="406"/>
      <c r="V259" s="406"/>
      <c r="W259" s="406"/>
      <c r="X259" s="406"/>
      <c r="Y259" s="406"/>
      <c r="Z259" s="406"/>
      <c r="AA259" s="406"/>
      <c r="AB259" s="406"/>
      <c r="AC259" s="406"/>
      <c r="AD259" s="406"/>
      <c r="AE259" s="406"/>
      <c r="AF259" s="406"/>
      <c r="AG259" s="406"/>
      <c r="AH259" s="406"/>
      <c r="AI259" s="406"/>
      <c r="AJ259" s="406"/>
      <c r="AK259" s="406"/>
      <c r="AL259" s="406"/>
      <c r="AM259" s="406"/>
      <c r="AN259" s="406"/>
      <c r="AO259" s="406"/>
      <c r="AP259" s="406"/>
      <c r="AQ259" s="406"/>
    </row>
    <row r="260" spans="1:43" s="407" customFormat="1" ht="12.75" x14ac:dyDescent="0.2">
      <c r="A260" s="406"/>
      <c r="B260" s="14" t="str">
        <f>IF(Tabla1[[#This Row],[Código_Actividad]]="","",CONCATENATE(Tabla1[[#This Row],[POA]],".",Tabla1[[#This Row],[SRS]],".",Tabla1[[#This Row],[AREA]],".",Tabla1[[#This Row],[TIPO]]))</f>
        <v/>
      </c>
      <c r="C260" s="14"/>
      <c r="D260" s="14"/>
      <c r="E260" s="14"/>
      <c r="F260" s="14"/>
      <c r="G260" s="265"/>
      <c r="H260" s="266" t="s">
        <v>537</v>
      </c>
      <c r="I260" s="266" t="s">
        <v>526</v>
      </c>
      <c r="J260" s="265">
        <v>1</v>
      </c>
      <c r="K260" s="268">
        <v>180</v>
      </c>
      <c r="L260" s="268">
        <f>+Tabla1[[#This Row],[Precio Unitario]]*Tabla1[[#This Row],[Cantidad de Insumos]]</f>
        <v>180</v>
      </c>
      <c r="M260" s="269" t="s">
        <v>538</v>
      </c>
      <c r="N260" s="266" t="s">
        <v>66</v>
      </c>
      <c r="O260" s="406"/>
      <c r="P260" s="406"/>
      <c r="Q260" s="406"/>
      <c r="R260" s="406"/>
      <c r="S260" s="406"/>
      <c r="T260" s="406"/>
      <c r="U260" s="406"/>
      <c r="V260" s="406"/>
      <c r="W260" s="406"/>
      <c r="X260" s="406"/>
      <c r="Y260" s="406"/>
      <c r="Z260" s="406"/>
      <c r="AA260" s="406"/>
      <c r="AB260" s="406"/>
      <c r="AC260" s="406"/>
      <c r="AD260" s="406"/>
      <c r="AE260" s="406"/>
      <c r="AF260" s="406"/>
      <c r="AG260" s="406"/>
      <c r="AH260" s="406"/>
      <c r="AI260" s="406"/>
      <c r="AJ260" s="406"/>
      <c r="AK260" s="406"/>
      <c r="AL260" s="406"/>
      <c r="AM260" s="406"/>
      <c r="AN260" s="406"/>
      <c r="AO260" s="406"/>
      <c r="AP260" s="406"/>
      <c r="AQ260" s="406"/>
    </row>
    <row r="261" spans="1:43" s="407" customFormat="1" ht="12.75" x14ac:dyDescent="0.2">
      <c r="A261" s="406"/>
      <c r="B261" s="14" t="str">
        <f>IF(Tabla1[[#This Row],[Código_Actividad]]="","",CONCATENATE(Tabla1[[#This Row],[POA]],".",Tabla1[[#This Row],[SRS]],".",Tabla1[[#This Row],[AREA]],".",Tabla1[[#This Row],[TIPO]]))</f>
        <v/>
      </c>
      <c r="C261" s="14"/>
      <c r="D261" s="14"/>
      <c r="E261" s="14"/>
      <c r="F261" s="14"/>
      <c r="G261" s="265"/>
      <c r="H261" s="266" t="s">
        <v>539</v>
      </c>
      <c r="I261" s="266" t="s">
        <v>540</v>
      </c>
      <c r="J261" s="265">
        <v>1</v>
      </c>
      <c r="K261" s="268">
        <v>120</v>
      </c>
      <c r="L261" s="268">
        <f>+Tabla1[[#This Row],[Precio Unitario]]*Tabla1[[#This Row],[Cantidad de Insumos]]</f>
        <v>120</v>
      </c>
      <c r="M261" s="269" t="s">
        <v>529</v>
      </c>
      <c r="N261" s="266" t="s">
        <v>66</v>
      </c>
      <c r="O261" s="406"/>
      <c r="P261" s="406"/>
      <c r="Q261" s="406"/>
      <c r="R261" s="406"/>
      <c r="S261" s="406"/>
      <c r="T261" s="406"/>
      <c r="U261" s="406"/>
      <c r="V261" s="406"/>
      <c r="W261" s="406"/>
      <c r="X261" s="406"/>
      <c r="Y261" s="406"/>
      <c r="Z261" s="406"/>
      <c r="AA261" s="406"/>
      <c r="AB261" s="406"/>
      <c r="AC261" s="406"/>
      <c r="AD261" s="406"/>
      <c r="AE261" s="406"/>
      <c r="AF261" s="406"/>
      <c r="AG261" s="406"/>
      <c r="AH261" s="406"/>
      <c r="AI261" s="406"/>
      <c r="AJ261" s="406"/>
      <c r="AK261" s="406"/>
      <c r="AL261" s="406"/>
      <c r="AM261" s="406"/>
      <c r="AN261" s="406"/>
      <c r="AO261" s="406"/>
      <c r="AP261" s="406"/>
      <c r="AQ261" s="406"/>
    </row>
    <row r="262" spans="1:43" s="407" customFormat="1" ht="12.75" x14ac:dyDescent="0.2">
      <c r="A262" s="406"/>
      <c r="B262" s="14" t="str">
        <f>IF(Tabla1[[#This Row],[Código_Actividad]]="","",CONCATENATE(Tabla1[[#This Row],[POA]],".",Tabla1[[#This Row],[SRS]],".",Tabla1[[#This Row],[AREA]],".",Tabla1[[#This Row],[TIPO]]))</f>
        <v/>
      </c>
      <c r="C262" s="14"/>
      <c r="D262" s="14"/>
      <c r="E262" s="14"/>
      <c r="F262" s="14"/>
      <c r="G262" s="265"/>
      <c r="H262" s="266" t="s">
        <v>541</v>
      </c>
      <c r="I262" s="266" t="s">
        <v>526</v>
      </c>
      <c r="J262" s="265">
        <v>1</v>
      </c>
      <c r="K262" s="268">
        <v>4500</v>
      </c>
      <c r="L262" s="268">
        <f>+Tabla1[[#This Row],[Precio Unitario]]*Tabla1[[#This Row],[Cantidad de Insumos]]</f>
        <v>4500</v>
      </c>
      <c r="M262" s="269" t="s">
        <v>542</v>
      </c>
      <c r="N262" s="266" t="s">
        <v>66</v>
      </c>
      <c r="O262" s="406"/>
      <c r="P262" s="406"/>
      <c r="Q262" s="406"/>
      <c r="R262" s="406"/>
      <c r="S262" s="406"/>
      <c r="T262" s="406"/>
      <c r="U262" s="406"/>
      <c r="V262" s="406"/>
      <c r="W262" s="406"/>
      <c r="X262" s="406"/>
      <c r="Y262" s="406"/>
      <c r="Z262" s="406"/>
      <c r="AA262" s="406"/>
      <c r="AB262" s="406"/>
      <c r="AC262" s="406"/>
      <c r="AD262" s="406"/>
      <c r="AE262" s="406"/>
      <c r="AF262" s="406"/>
      <c r="AG262" s="406"/>
      <c r="AH262" s="406"/>
      <c r="AI262" s="406"/>
      <c r="AJ262" s="406"/>
      <c r="AK262" s="406"/>
      <c r="AL262" s="406"/>
      <c r="AM262" s="406"/>
      <c r="AN262" s="406"/>
      <c r="AO262" s="406"/>
      <c r="AP262" s="406"/>
      <c r="AQ262" s="406"/>
    </row>
    <row r="263" spans="1:43" s="407" customFormat="1" ht="12.75" x14ac:dyDescent="0.2">
      <c r="A263" s="406"/>
      <c r="B263" s="14" t="str">
        <f>IF(Tabla1[[#This Row],[Código_Actividad]]="","",CONCATENATE(Tabla1[[#This Row],[POA]],".",Tabla1[[#This Row],[SRS]],".",Tabla1[[#This Row],[AREA]],".",Tabla1[[#This Row],[TIPO]]))</f>
        <v/>
      </c>
      <c r="C263" s="14"/>
      <c r="D263" s="14"/>
      <c r="E263" s="14"/>
      <c r="F263" s="14"/>
      <c r="G263" s="265"/>
      <c r="H263" s="266" t="s">
        <v>543</v>
      </c>
      <c r="I263" s="266" t="s">
        <v>540</v>
      </c>
      <c r="J263" s="265">
        <v>1</v>
      </c>
      <c r="K263" s="268">
        <v>600</v>
      </c>
      <c r="L263" s="268">
        <f>+Tabla1[[#This Row],[Precio Unitario]]*Tabla1[[#This Row],[Cantidad de Insumos]]</f>
        <v>600</v>
      </c>
      <c r="M263" s="269" t="s">
        <v>529</v>
      </c>
      <c r="N263" s="266" t="s">
        <v>66</v>
      </c>
      <c r="O263" s="406"/>
      <c r="P263" s="406"/>
      <c r="Q263" s="406"/>
      <c r="R263" s="406"/>
      <c r="S263" s="406"/>
      <c r="T263" s="406"/>
      <c r="U263" s="406"/>
      <c r="V263" s="406"/>
      <c r="W263" s="406"/>
      <c r="X263" s="406"/>
      <c r="Y263" s="406"/>
      <c r="Z263" s="406"/>
      <c r="AA263" s="406"/>
      <c r="AB263" s="406"/>
      <c r="AC263" s="406"/>
      <c r="AD263" s="406"/>
      <c r="AE263" s="406"/>
      <c r="AF263" s="406"/>
      <c r="AG263" s="406"/>
      <c r="AH263" s="406"/>
      <c r="AI263" s="406"/>
      <c r="AJ263" s="406"/>
      <c r="AK263" s="406"/>
      <c r="AL263" s="406"/>
      <c r="AM263" s="406"/>
      <c r="AN263" s="406"/>
      <c r="AO263" s="406"/>
      <c r="AP263" s="406"/>
      <c r="AQ263" s="406"/>
    </row>
    <row r="264" spans="1:43" s="407" customFormat="1" ht="12.75" x14ac:dyDescent="0.2">
      <c r="A264" s="406"/>
      <c r="B264" s="14" t="str">
        <f>IF(Tabla1[[#This Row],[Código_Actividad]]="","",CONCATENATE(Tabla1[[#This Row],[POA]],".",Tabla1[[#This Row],[SRS]],".",Tabla1[[#This Row],[AREA]],".",Tabla1[[#This Row],[TIPO]]))</f>
        <v/>
      </c>
      <c r="C264" s="14"/>
      <c r="D264" s="14"/>
      <c r="E264" s="14"/>
      <c r="F264" s="14"/>
      <c r="G264" s="265"/>
      <c r="H264" s="266" t="s">
        <v>530</v>
      </c>
      <c r="I264" s="405" t="s">
        <v>526</v>
      </c>
      <c r="J264" s="265">
        <v>4</v>
      </c>
      <c r="K264" s="268">
        <v>30</v>
      </c>
      <c r="L264" s="268">
        <f>+Tabla1[[#This Row],[Precio Unitario]]*Tabla1[[#This Row],[Cantidad de Insumos]]</f>
        <v>120</v>
      </c>
      <c r="M264" s="269" t="s">
        <v>529</v>
      </c>
      <c r="N264" s="266" t="s">
        <v>66</v>
      </c>
      <c r="O264" s="406"/>
      <c r="P264" s="406"/>
      <c r="Q264" s="406"/>
      <c r="R264" s="406"/>
      <c r="S264" s="406"/>
      <c r="T264" s="406"/>
      <c r="U264" s="406"/>
      <c r="V264" s="406"/>
      <c r="W264" s="406"/>
      <c r="X264" s="406"/>
      <c r="Y264" s="406"/>
      <c r="Z264" s="406"/>
      <c r="AA264" s="406"/>
      <c r="AB264" s="406"/>
      <c r="AC264" s="406"/>
      <c r="AD264" s="406"/>
      <c r="AE264" s="406"/>
      <c r="AF264" s="406"/>
      <c r="AG264" s="406"/>
      <c r="AH264" s="406"/>
      <c r="AI264" s="406"/>
      <c r="AJ264" s="406"/>
      <c r="AK264" s="406"/>
      <c r="AL264" s="406"/>
      <c r="AM264" s="406"/>
      <c r="AN264" s="406"/>
      <c r="AO264" s="406"/>
      <c r="AP264" s="406"/>
      <c r="AQ264" s="406"/>
    </row>
    <row r="265" spans="1:43" s="407" customFormat="1" ht="12.75" x14ac:dyDescent="0.2">
      <c r="A265" s="406"/>
      <c r="B265" s="14" t="str">
        <f>IF(Tabla1[[#This Row],[Código_Actividad]]="","",CONCATENATE(Tabla1[[#This Row],[POA]],".",Tabla1[[#This Row],[SRS]],".",Tabla1[[#This Row],[AREA]],".",Tabla1[[#This Row],[TIPO]]))</f>
        <v/>
      </c>
      <c r="C265" s="14"/>
      <c r="D265" s="14"/>
      <c r="E265" s="14"/>
      <c r="F265" s="14"/>
      <c r="G265" s="265"/>
      <c r="H265" s="266" t="s">
        <v>531</v>
      </c>
      <c r="I265" s="405" t="s">
        <v>532</v>
      </c>
      <c r="J265" s="265">
        <v>1</v>
      </c>
      <c r="K265" s="268">
        <v>150</v>
      </c>
      <c r="L265" s="268">
        <f>+Tabla1[[#This Row],[Precio Unitario]]*Tabla1[[#This Row],[Cantidad de Insumos]]</f>
        <v>150</v>
      </c>
      <c r="M265" s="269" t="s">
        <v>533</v>
      </c>
      <c r="N265" s="266" t="s">
        <v>66</v>
      </c>
      <c r="O265" s="406"/>
      <c r="P265" s="406"/>
      <c r="Q265" s="406"/>
      <c r="R265" s="406"/>
      <c r="S265" s="406"/>
      <c r="T265" s="406"/>
      <c r="U265" s="406"/>
      <c r="V265" s="406"/>
      <c r="W265" s="406"/>
      <c r="X265" s="406"/>
      <c r="Y265" s="406"/>
      <c r="Z265" s="406"/>
      <c r="AA265" s="406"/>
      <c r="AB265" s="406"/>
      <c r="AC265" s="406"/>
      <c r="AD265" s="406"/>
      <c r="AE265" s="406"/>
      <c r="AF265" s="406"/>
      <c r="AG265" s="406"/>
      <c r="AH265" s="406"/>
      <c r="AI265" s="406"/>
      <c r="AJ265" s="406"/>
      <c r="AK265" s="406"/>
      <c r="AL265" s="406"/>
      <c r="AM265" s="406"/>
      <c r="AN265" s="406"/>
      <c r="AO265" s="406"/>
      <c r="AP265" s="406"/>
      <c r="AQ265" s="406"/>
    </row>
    <row r="266" spans="1:43" s="407" customFormat="1" ht="12.75" x14ac:dyDescent="0.2">
      <c r="A266" s="406"/>
      <c r="B266" s="14" t="str">
        <f>IF(Tabla1[[#This Row],[Código_Actividad]]="","",CONCATENATE(Tabla1[[#This Row],[POA]],".",Tabla1[[#This Row],[SRS]],".",Tabla1[[#This Row],[AREA]],".",Tabla1[[#This Row],[TIPO]]))</f>
        <v/>
      </c>
      <c r="C266" s="14"/>
      <c r="D266" s="14"/>
      <c r="E266" s="14"/>
      <c r="F266" s="14"/>
      <c r="G266" s="265"/>
      <c r="H266" s="266" t="s">
        <v>544</v>
      </c>
      <c r="I266" s="266" t="s">
        <v>540</v>
      </c>
      <c r="J266" s="265">
        <v>1</v>
      </c>
      <c r="K266" s="268">
        <v>1200</v>
      </c>
      <c r="L266" s="268">
        <f>+Tabla1[[#This Row],[Precio Unitario]]*Tabla1[[#This Row],[Cantidad de Insumos]]</f>
        <v>1200</v>
      </c>
      <c r="M266" s="269" t="s">
        <v>545</v>
      </c>
      <c r="N266" s="266" t="s">
        <v>66</v>
      </c>
      <c r="O266" s="406"/>
      <c r="P266" s="406"/>
      <c r="Q266" s="406"/>
      <c r="R266" s="406"/>
      <c r="S266" s="406"/>
      <c r="T266" s="406"/>
      <c r="U266" s="406"/>
      <c r="V266" s="406"/>
      <c r="W266" s="406"/>
      <c r="X266" s="406"/>
      <c r="Y266" s="406"/>
      <c r="Z266" s="406"/>
      <c r="AA266" s="406"/>
      <c r="AB266" s="406"/>
      <c r="AC266" s="406"/>
      <c r="AD266" s="406"/>
      <c r="AE266" s="406"/>
      <c r="AF266" s="406"/>
      <c r="AG266" s="406"/>
      <c r="AH266" s="406"/>
      <c r="AI266" s="406"/>
      <c r="AJ266" s="406"/>
      <c r="AK266" s="406"/>
      <c r="AL266" s="406"/>
      <c r="AM266" s="406"/>
      <c r="AN266" s="406"/>
      <c r="AO266" s="406"/>
      <c r="AP266" s="406"/>
      <c r="AQ266" s="406"/>
    </row>
    <row r="267" spans="1:43" s="407" customFormat="1" ht="12.75" x14ac:dyDescent="0.2">
      <c r="A267" s="406"/>
      <c r="B267" s="14" t="str">
        <f>IF(Tabla1[[#This Row],[Código_Actividad]]="","",CONCATENATE(Tabla1[[#This Row],[POA]],".",Tabla1[[#This Row],[SRS]],".",Tabla1[[#This Row],[AREA]],".",Tabla1[[#This Row],[TIPO]]))</f>
        <v/>
      </c>
      <c r="C267" s="14"/>
      <c r="D267" s="14"/>
      <c r="E267" s="14"/>
      <c r="F267" s="14"/>
      <c r="G267" s="265"/>
      <c r="H267" s="266" t="s">
        <v>546</v>
      </c>
      <c r="I267" s="266" t="s">
        <v>526</v>
      </c>
      <c r="J267" s="265">
        <v>1</v>
      </c>
      <c r="K267" s="268">
        <v>100</v>
      </c>
      <c r="L267" s="268">
        <f>+Tabla1[[#This Row],[Precio Unitario]]*Tabla1[[#This Row],[Cantidad de Insumos]]</f>
        <v>100</v>
      </c>
      <c r="M267" s="269" t="s">
        <v>529</v>
      </c>
      <c r="N267" s="266" t="s">
        <v>508</v>
      </c>
      <c r="O267" s="406"/>
      <c r="P267" s="406"/>
      <c r="Q267" s="406"/>
      <c r="R267" s="406"/>
      <c r="S267" s="406"/>
      <c r="T267" s="406"/>
      <c r="U267" s="406"/>
      <c r="V267" s="406"/>
      <c r="W267" s="406"/>
      <c r="X267" s="406"/>
      <c r="Y267" s="406"/>
      <c r="Z267" s="406"/>
      <c r="AA267" s="406"/>
      <c r="AB267" s="406"/>
      <c r="AC267" s="406"/>
      <c r="AD267" s="406"/>
      <c r="AE267" s="406"/>
      <c r="AF267" s="406"/>
      <c r="AG267" s="406"/>
      <c r="AH267" s="406"/>
      <c r="AI267" s="406"/>
      <c r="AJ267" s="406"/>
      <c r="AK267" s="406"/>
      <c r="AL267" s="406"/>
      <c r="AM267" s="406"/>
      <c r="AN267" s="406"/>
      <c r="AO267" s="406"/>
      <c r="AP267" s="406"/>
      <c r="AQ267" s="406"/>
    </row>
    <row r="268" spans="1:43" s="407" customFormat="1" ht="12.75" x14ac:dyDescent="0.2">
      <c r="A268" s="406"/>
      <c r="B268" s="14" t="str">
        <f>IF(Tabla1[[#This Row],[Código_Actividad]]="","",CONCATENATE(Tabla1[[#This Row],[POA]],".",Tabla1[[#This Row],[SRS]],".",Tabla1[[#This Row],[AREA]],".",Tabla1[[#This Row],[TIPO]]))</f>
        <v>...</v>
      </c>
      <c r="C268" s="14" t="s">
        <v>523</v>
      </c>
      <c r="D268" s="14" t="s">
        <v>523</v>
      </c>
      <c r="E268" s="14" t="s">
        <v>523</v>
      </c>
      <c r="F268" s="14" t="s">
        <v>523</v>
      </c>
      <c r="G268" s="265" t="s">
        <v>481</v>
      </c>
      <c r="H268" s="266" t="s">
        <v>525</v>
      </c>
      <c r="I268" s="266" t="s">
        <v>526</v>
      </c>
      <c r="J268" s="265">
        <v>1</v>
      </c>
      <c r="K268" s="267">
        <v>35000</v>
      </c>
      <c r="L268" s="268">
        <f>+Tabla1[[#This Row],[Precio Unitario]]*Tabla1[[#This Row],[Cantidad de Insumos]]</f>
        <v>35000</v>
      </c>
      <c r="M268" s="269" t="s">
        <v>527</v>
      </c>
      <c r="N268" s="266" t="s">
        <v>508</v>
      </c>
      <c r="O268" s="406"/>
      <c r="P268" s="406"/>
      <c r="Q268" s="406"/>
      <c r="R268" s="406"/>
      <c r="S268" s="406"/>
      <c r="T268" s="406"/>
      <c r="U268" s="406"/>
      <c r="V268" s="406"/>
      <c r="W268" s="406"/>
      <c r="X268" s="406"/>
      <c r="Y268" s="406"/>
      <c r="Z268" s="406"/>
      <c r="AA268" s="406"/>
      <c r="AB268" s="406"/>
      <c r="AC268" s="406"/>
      <c r="AD268" s="406"/>
      <c r="AE268" s="406"/>
      <c r="AF268" s="406"/>
      <c r="AG268" s="406"/>
      <c r="AH268" s="406"/>
      <c r="AI268" s="406"/>
      <c r="AJ268" s="406"/>
      <c r="AK268" s="406"/>
      <c r="AL268" s="406"/>
      <c r="AM268" s="406"/>
      <c r="AN268" s="406"/>
      <c r="AO268" s="406"/>
      <c r="AP268" s="406"/>
      <c r="AQ268" s="406"/>
    </row>
    <row r="269" spans="1:43" s="407" customFormat="1" ht="12.75" x14ac:dyDescent="0.2">
      <c r="A269" s="406"/>
      <c r="B269" s="14" t="str">
        <f>IF(Tabla1[[#This Row],[Código_Actividad]]="","",CONCATENATE(Tabla1[[#This Row],[POA]],".",Tabla1[[#This Row],[SRS]],".",Tabla1[[#This Row],[AREA]],".",Tabla1[[#This Row],[TIPO]]))</f>
        <v/>
      </c>
      <c r="C269" s="14"/>
      <c r="D269" s="14"/>
      <c r="E269" s="14"/>
      <c r="F269" s="14"/>
      <c r="G269" s="265"/>
      <c r="H269" s="266" t="s">
        <v>547</v>
      </c>
      <c r="I269" s="266" t="s">
        <v>526</v>
      </c>
      <c r="J269" s="265">
        <v>1</v>
      </c>
      <c r="K269" s="268">
        <v>60000</v>
      </c>
      <c r="L269" s="268">
        <f>+Tabla1[[#This Row],[Precio Unitario]]*Tabla1[[#This Row],[Cantidad de Insumos]]</f>
        <v>60000</v>
      </c>
      <c r="M269" s="269" t="s">
        <v>527</v>
      </c>
      <c r="N269" s="266" t="s">
        <v>508</v>
      </c>
      <c r="O269" s="406"/>
      <c r="P269" s="406"/>
      <c r="Q269" s="406"/>
      <c r="R269" s="406"/>
      <c r="S269" s="406"/>
      <c r="T269" s="406"/>
      <c r="U269" s="406"/>
      <c r="V269" s="406"/>
      <c r="W269" s="406"/>
      <c r="X269" s="406"/>
      <c r="Y269" s="406"/>
      <c r="Z269" s="406"/>
      <c r="AA269" s="406"/>
      <c r="AB269" s="406"/>
      <c r="AC269" s="406"/>
      <c r="AD269" s="406"/>
      <c r="AE269" s="406"/>
      <c r="AF269" s="406"/>
      <c r="AG269" s="406"/>
      <c r="AH269" s="406"/>
      <c r="AI269" s="406"/>
      <c r="AJ269" s="406"/>
      <c r="AK269" s="406"/>
      <c r="AL269" s="406"/>
      <c r="AM269" s="406"/>
      <c r="AN269" s="406"/>
      <c r="AO269" s="406"/>
      <c r="AP269" s="406"/>
      <c r="AQ269" s="406"/>
    </row>
    <row r="270" spans="1:43" s="407" customFormat="1" ht="12.75" x14ac:dyDescent="0.2">
      <c r="A270" s="406"/>
      <c r="B270" s="14" t="str">
        <f>IF(Tabla1[[#This Row],[Código_Actividad]]="","",CONCATENATE(Tabla1[[#This Row],[POA]],".",Tabla1[[#This Row],[SRS]],".",Tabla1[[#This Row],[AREA]],".",Tabla1[[#This Row],[TIPO]]))</f>
        <v/>
      </c>
      <c r="C270" s="14"/>
      <c r="D270" s="14"/>
      <c r="E270" s="14"/>
      <c r="F270" s="14"/>
      <c r="G270" s="265"/>
      <c r="H270" s="266" t="s">
        <v>534</v>
      </c>
      <c r="I270" s="266" t="s">
        <v>526</v>
      </c>
      <c r="J270" s="265">
        <v>1</v>
      </c>
      <c r="K270" s="268">
        <v>1400</v>
      </c>
      <c r="L270" s="268">
        <f>+Tabla1[[#This Row],[Precio Unitario]]*Tabla1[[#This Row],[Cantidad de Insumos]]</f>
        <v>1400</v>
      </c>
      <c r="M270" s="269" t="s">
        <v>529</v>
      </c>
      <c r="N270" s="266" t="s">
        <v>66</v>
      </c>
      <c r="O270" s="406"/>
      <c r="P270" s="406"/>
      <c r="Q270" s="406"/>
      <c r="R270" s="406"/>
      <c r="S270" s="406"/>
      <c r="T270" s="406"/>
      <c r="U270" s="406"/>
      <c r="V270" s="406"/>
      <c r="W270" s="406"/>
      <c r="X270" s="406"/>
      <c r="Y270" s="406"/>
      <c r="Z270" s="406"/>
      <c r="AA270" s="406"/>
      <c r="AB270" s="406"/>
      <c r="AC270" s="406"/>
      <c r="AD270" s="406"/>
      <c r="AE270" s="406"/>
      <c r="AF270" s="406"/>
      <c r="AG270" s="406"/>
      <c r="AH270" s="406"/>
      <c r="AI270" s="406"/>
      <c r="AJ270" s="406"/>
      <c r="AK270" s="406"/>
      <c r="AL270" s="406"/>
      <c r="AM270" s="406"/>
      <c r="AN270" s="406"/>
      <c r="AO270" s="406"/>
      <c r="AP270" s="406"/>
      <c r="AQ270" s="406"/>
    </row>
    <row r="271" spans="1:43" s="407" customFormat="1" ht="12.75" x14ac:dyDescent="0.2">
      <c r="A271" s="406"/>
      <c r="B271" s="14" t="str">
        <f>IF(Tabla1[[#This Row],[Código_Actividad]]="","",CONCATENATE(Tabla1[[#This Row],[POA]],".",Tabla1[[#This Row],[SRS]],".",Tabla1[[#This Row],[AREA]],".",Tabla1[[#This Row],[TIPO]]))</f>
        <v/>
      </c>
      <c r="C271" s="14"/>
      <c r="D271" s="14"/>
      <c r="E271" s="14"/>
      <c r="F271" s="14"/>
      <c r="G271" s="265"/>
      <c r="H271" s="266" t="s">
        <v>535</v>
      </c>
      <c r="I271" s="266" t="s">
        <v>536</v>
      </c>
      <c r="J271" s="265">
        <v>1</v>
      </c>
      <c r="K271" s="268">
        <v>500</v>
      </c>
      <c r="L271" s="268">
        <f>+Tabla1[[#This Row],[Precio Unitario]]*Tabla1[[#This Row],[Cantidad de Insumos]]</f>
        <v>500</v>
      </c>
      <c r="M271" s="269" t="s">
        <v>533</v>
      </c>
      <c r="N271" s="266" t="s">
        <v>66</v>
      </c>
      <c r="O271" s="406"/>
      <c r="P271" s="406"/>
      <c r="Q271" s="406"/>
      <c r="R271" s="406"/>
      <c r="S271" s="406"/>
      <c r="T271" s="406"/>
      <c r="U271" s="406"/>
      <c r="V271" s="406"/>
      <c r="W271" s="406"/>
      <c r="X271" s="406"/>
      <c r="Y271" s="406"/>
      <c r="Z271" s="406"/>
      <c r="AA271" s="406"/>
      <c r="AB271" s="406"/>
      <c r="AC271" s="406"/>
      <c r="AD271" s="406"/>
      <c r="AE271" s="406"/>
      <c r="AF271" s="406"/>
      <c r="AG271" s="406"/>
      <c r="AH271" s="406"/>
      <c r="AI271" s="406"/>
      <c r="AJ271" s="406"/>
      <c r="AK271" s="406"/>
      <c r="AL271" s="406"/>
      <c r="AM271" s="406"/>
      <c r="AN271" s="406"/>
      <c r="AO271" s="406"/>
      <c r="AP271" s="406"/>
      <c r="AQ271" s="406"/>
    </row>
    <row r="272" spans="1:43" s="407" customFormat="1" ht="12.75" x14ac:dyDescent="0.2">
      <c r="A272" s="406"/>
      <c r="B272" s="14" t="str">
        <f>IF(Tabla1[[#This Row],[Código_Actividad]]="","",CONCATENATE(Tabla1[[#This Row],[POA]],".",Tabla1[[#This Row],[SRS]],".",Tabla1[[#This Row],[AREA]],".",Tabla1[[#This Row],[TIPO]]))</f>
        <v/>
      </c>
      <c r="C272" s="14"/>
      <c r="D272" s="14"/>
      <c r="E272" s="14"/>
      <c r="F272" s="14"/>
      <c r="G272" s="265"/>
      <c r="H272" s="266" t="s">
        <v>537</v>
      </c>
      <c r="I272" s="266" t="s">
        <v>526</v>
      </c>
      <c r="J272" s="265">
        <v>1</v>
      </c>
      <c r="K272" s="268">
        <v>180</v>
      </c>
      <c r="L272" s="268">
        <f>+Tabla1[[#This Row],[Precio Unitario]]*Tabla1[[#This Row],[Cantidad de Insumos]]</f>
        <v>180</v>
      </c>
      <c r="M272" s="269" t="s">
        <v>538</v>
      </c>
      <c r="N272" s="266" t="s">
        <v>66</v>
      </c>
      <c r="O272" s="406"/>
      <c r="P272" s="406"/>
      <c r="Q272" s="406"/>
      <c r="R272" s="406"/>
      <c r="S272" s="406"/>
      <c r="T272" s="406"/>
      <c r="U272" s="406"/>
      <c r="V272" s="406"/>
      <c r="W272" s="406"/>
      <c r="X272" s="406"/>
      <c r="Y272" s="406"/>
      <c r="Z272" s="406"/>
      <c r="AA272" s="406"/>
      <c r="AB272" s="406"/>
      <c r="AC272" s="406"/>
      <c r="AD272" s="406"/>
      <c r="AE272" s="406"/>
      <c r="AF272" s="406"/>
      <c r="AG272" s="406"/>
      <c r="AH272" s="406"/>
      <c r="AI272" s="406"/>
      <c r="AJ272" s="406"/>
      <c r="AK272" s="406"/>
      <c r="AL272" s="406"/>
      <c r="AM272" s="406"/>
      <c r="AN272" s="406"/>
      <c r="AO272" s="406"/>
      <c r="AP272" s="406"/>
      <c r="AQ272" s="406"/>
    </row>
    <row r="273" spans="1:43" s="407" customFormat="1" ht="12.75" x14ac:dyDescent="0.2">
      <c r="A273" s="406"/>
      <c r="B273" s="14" t="str">
        <f>IF(Tabla1[[#This Row],[Código_Actividad]]="","",CONCATENATE(Tabla1[[#This Row],[POA]],".",Tabla1[[#This Row],[SRS]],".",Tabla1[[#This Row],[AREA]],".",Tabla1[[#This Row],[TIPO]]))</f>
        <v/>
      </c>
      <c r="C273" s="14"/>
      <c r="D273" s="14"/>
      <c r="E273" s="14"/>
      <c r="F273" s="14"/>
      <c r="G273" s="265"/>
      <c r="H273" s="266" t="s">
        <v>539</v>
      </c>
      <c r="I273" s="266" t="s">
        <v>540</v>
      </c>
      <c r="J273" s="265">
        <v>1</v>
      </c>
      <c r="K273" s="268">
        <v>120</v>
      </c>
      <c r="L273" s="268">
        <f>+Tabla1[[#This Row],[Precio Unitario]]*Tabla1[[#This Row],[Cantidad de Insumos]]</f>
        <v>120</v>
      </c>
      <c r="M273" s="269" t="s">
        <v>529</v>
      </c>
      <c r="N273" s="266" t="s">
        <v>66</v>
      </c>
      <c r="O273" s="406"/>
      <c r="P273" s="406"/>
      <c r="Q273" s="406"/>
      <c r="R273" s="406"/>
      <c r="S273" s="406"/>
      <c r="T273" s="406"/>
      <c r="U273" s="406"/>
      <c r="V273" s="406"/>
      <c r="W273" s="406"/>
      <c r="X273" s="406"/>
      <c r="Y273" s="406"/>
      <c r="Z273" s="406"/>
      <c r="AA273" s="406"/>
      <c r="AB273" s="406"/>
      <c r="AC273" s="406"/>
      <c r="AD273" s="406"/>
      <c r="AE273" s="406"/>
      <c r="AF273" s="406"/>
      <c r="AG273" s="406"/>
      <c r="AH273" s="406"/>
      <c r="AI273" s="406"/>
      <c r="AJ273" s="406"/>
      <c r="AK273" s="406"/>
      <c r="AL273" s="406"/>
      <c r="AM273" s="406"/>
      <c r="AN273" s="406"/>
      <c r="AO273" s="406"/>
      <c r="AP273" s="406"/>
      <c r="AQ273" s="406"/>
    </row>
    <row r="274" spans="1:43" s="407" customFormat="1" ht="12.75" x14ac:dyDescent="0.2">
      <c r="A274" s="406"/>
      <c r="B274" s="14" t="str">
        <f>IF(Tabla1[[#This Row],[Código_Actividad]]="","",CONCATENATE(Tabla1[[#This Row],[POA]],".",Tabla1[[#This Row],[SRS]],".",Tabla1[[#This Row],[AREA]],".",Tabla1[[#This Row],[TIPO]]))</f>
        <v/>
      </c>
      <c r="C274" s="14"/>
      <c r="D274" s="14"/>
      <c r="E274" s="14"/>
      <c r="F274" s="14"/>
      <c r="G274" s="265"/>
      <c r="H274" s="266" t="s">
        <v>541</v>
      </c>
      <c r="I274" s="266" t="s">
        <v>526</v>
      </c>
      <c r="J274" s="265">
        <v>1</v>
      </c>
      <c r="K274" s="268">
        <v>4500</v>
      </c>
      <c r="L274" s="268">
        <f>+Tabla1[[#This Row],[Precio Unitario]]*Tabla1[[#This Row],[Cantidad de Insumos]]</f>
        <v>4500</v>
      </c>
      <c r="M274" s="269" t="s">
        <v>542</v>
      </c>
      <c r="N274" s="266" t="s">
        <v>66</v>
      </c>
      <c r="O274" s="406"/>
      <c r="P274" s="406"/>
      <c r="Q274" s="406"/>
      <c r="R274" s="406"/>
      <c r="S274" s="406"/>
      <c r="T274" s="406"/>
      <c r="U274" s="406"/>
      <c r="V274" s="406"/>
      <c r="W274" s="406"/>
      <c r="X274" s="406"/>
      <c r="Y274" s="406"/>
      <c r="Z274" s="406"/>
      <c r="AA274" s="406"/>
      <c r="AB274" s="406"/>
      <c r="AC274" s="406"/>
      <c r="AD274" s="406"/>
      <c r="AE274" s="406"/>
      <c r="AF274" s="406"/>
      <c r="AG274" s="406"/>
      <c r="AH274" s="406"/>
      <c r="AI274" s="406"/>
      <c r="AJ274" s="406"/>
      <c r="AK274" s="406"/>
      <c r="AL274" s="406"/>
      <c r="AM274" s="406"/>
      <c r="AN274" s="406"/>
      <c r="AO274" s="406"/>
      <c r="AP274" s="406"/>
      <c r="AQ274" s="406"/>
    </row>
    <row r="275" spans="1:43" s="407" customFormat="1" ht="12.75" x14ac:dyDescent="0.2">
      <c r="A275" s="406"/>
      <c r="B275" s="14" t="str">
        <f>IF(Tabla1[[#This Row],[Código_Actividad]]="","",CONCATENATE(Tabla1[[#This Row],[POA]],".",Tabla1[[#This Row],[SRS]],".",Tabla1[[#This Row],[AREA]],".",Tabla1[[#This Row],[TIPO]]))</f>
        <v/>
      </c>
      <c r="C275" s="14"/>
      <c r="D275" s="14"/>
      <c r="E275" s="14"/>
      <c r="F275" s="14"/>
      <c r="G275" s="265"/>
      <c r="H275" s="266" t="s">
        <v>543</v>
      </c>
      <c r="I275" s="266" t="s">
        <v>540</v>
      </c>
      <c r="J275" s="265">
        <v>1</v>
      </c>
      <c r="K275" s="268">
        <v>600</v>
      </c>
      <c r="L275" s="268">
        <f>+Tabla1[[#This Row],[Precio Unitario]]*Tabla1[[#This Row],[Cantidad de Insumos]]</f>
        <v>600</v>
      </c>
      <c r="M275" s="269" t="s">
        <v>529</v>
      </c>
      <c r="N275" s="266" t="s">
        <v>66</v>
      </c>
      <c r="O275" s="406"/>
      <c r="P275" s="406"/>
      <c r="Q275" s="406"/>
      <c r="R275" s="406"/>
      <c r="S275" s="406"/>
      <c r="T275" s="406"/>
      <c r="U275" s="406"/>
      <c r="V275" s="406"/>
      <c r="W275" s="406"/>
      <c r="X275" s="406"/>
      <c r="Y275" s="406"/>
      <c r="Z275" s="406"/>
      <c r="AA275" s="406"/>
      <c r="AB275" s="406"/>
      <c r="AC275" s="406"/>
      <c r="AD275" s="406"/>
      <c r="AE275" s="406"/>
      <c r="AF275" s="406"/>
      <c r="AG275" s="406"/>
      <c r="AH275" s="406"/>
      <c r="AI275" s="406"/>
      <c r="AJ275" s="406"/>
      <c r="AK275" s="406"/>
      <c r="AL275" s="406"/>
      <c r="AM275" s="406"/>
      <c r="AN275" s="406"/>
      <c r="AO275" s="406"/>
      <c r="AP275" s="406"/>
      <c r="AQ275" s="406"/>
    </row>
    <row r="276" spans="1:43" s="407" customFormat="1" ht="12.75" x14ac:dyDescent="0.2">
      <c r="A276" s="406"/>
      <c r="B276" s="14" t="str">
        <f>IF(Tabla1[[#This Row],[Código_Actividad]]="","",CONCATENATE(Tabla1[[#This Row],[POA]],".",Tabla1[[#This Row],[SRS]],".",Tabla1[[#This Row],[AREA]],".",Tabla1[[#This Row],[TIPO]]))</f>
        <v/>
      </c>
      <c r="C276" s="14"/>
      <c r="D276" s="14"/>
      <c r="E276" s="14"/>
      <c r="F276" s="14"/>
      <c r="G276" s="265"/>
      <c r="H276" s="266" t="s">
        <v>530</v>
      </c>
      <c r="I276" s="405" t="s">
        <v>526</v>
      </c>
      <c r="J276" s="265">
        <v>4</v>
      </c>
      <c r="K276" s="268">
        <v>30</v>
      </c>
      <c r="L276" s="268">
        <f>+Tabla1[[#This Row],[Precio Unitario]]*Tabla1[[#This Row],[Cantidad de Insumos]]</f>
        <v>120</v>
      </c>
      <c r="M276" s="269" t="s">
        <v>529</v>
      </c>
      <c r="N276" s="266" t="s">
        <v>66</v>
      </c>
      <c r="O276" s="406"/>
      <c r="P276" s="406"/>
      <c r="Q276" s="406"/>
      <c r="R276" s="406"/>
      <c r="S276" s="406"/>
      <c r="T276" s="406"/>
      <c r="U276" s="406"/>
      <c r="V276" s="406"/>
      <c r="W276" s="406"/>
      <c r="X276" s="406"/>
      <c r="Y276" s="406"/>
      <c r="Z276" s="406"/>
      <c r="AA276" s="406"/>
      <c r="AB276" s="406"/>
      <c r="AC276" s="406"/>
      <c r="AD276" s="406"/>
      <c r="AE276" s="406"/>
      <c r="AF276" s="406"/>
      <c r="AG276" s="406"/>
      <c r="AH276" s="406"/>
      <c r="AI276" s="406"/>
      <c r="AJ276" s="406"/>
      <c r="AK276" s="406"/>
      <c r="AL276" s="406"/>
      <c r="AM276" s="406"/>
      <c r="AN276" s="406"/>
      <c r="AO276" s="406"/>
      <c r="AP276" s="406"/>
      <c r="AQ276" s="406"/>
    </row>
    <row r="277" spans="1:43" s="407" customFormat="1" ht="12.75" x14ac:dyDescent="0.2">
      <c r="A277" s="406"/>
      <c r="B277" s="14" t="str">
        <f>IF(Tabla1[[#This Row],[Código_Actividad]]="","",CONCATENATE(Tabla1[[#This Row],[POA]],".",Tabla1[[#This Row],[SRS]],".",Tabla1[[#This Row],[AREA]],".",Tabla1[[#This Row],[TIPO]]))</f>
        <v/>
      </c>
      <c r="C277" s="14"/>
      <c r="D277" s="14"/>
      <c r="E277" s="14"/>
      <c r="F277" s="14"/>
      <c r="G277" s="265"/>
      <c r="H277" s="266" t="s">
        <v>531</v>
      </c>
      <c r="I277" s="405" t="s">
        <v>532</v>
      </c>
      <c r="J277" s="265">
        <v>1</v>
      </c>
      <c r="K277" s="268">
        <v>150</v>
      </c>
      <c r="L277" s="268">
        <f>+Tabla1[[#This Row],[Precio Unitario]]*Tabla1[[#This Row],[Cantidad de Insumos]]</f>
        <v>150</v>
      </c>
      <c r="M277" s="269" t="s">
        <v>533</v>
      </c>
      <c r="N277" s="266" t="s">
        <v>66</v>
      </c>
      <c r="O277" s="406"/>
      <c r="P277" s="406"/>
      <c r="Q277" s="406"/>
      <c r="R277" s="406"/>
      <c r="S277" s="406"/>
      <c r="T277" s="406"/>
      <c r="U277" s="406"/>
      <c r="V277" s="406"/>
      <c r="W277" s="406"/>
      <c r="X277" s="406"/>
      <c r="Y277" s="406"/>
      <c r="Z277" s="406"/>
      <c r="AA277" s="406"/>
      <c r="AB277" s="406"/>
      <c r="AC277" s="406"/>
      <c r="AD277" s="406"/>
      <c r="AE277" s="406"/>
      <c r="AF277" s="406"/>
      <c r="AG277" s="406"/>
      <c r="AH277" s="406"/>
      <c r="AI277" s="406"/>
      <c r="AJ277" s="406"/>
      <c r="AK277" s="406"/>
      <c r="AL277" s="406"/>
      <c r="AM277" s="406"/>
      <c r="AN277" s="406"/>
      <c r="AO277" s="406"/>
      <c r="AP277" s="406"/>
      <c r="AQ277" s="406"/>
    </row>
    <row r="278" spans="1:43" s="407" customFormat="1" ht="12.75" x14ac:dyDescent="0.2">
      <c r="A278" s="406"/>
      <c r="B278" s="14" t="str">
        <f>IF(Tabla1[[#This Row],[Código_Actividad]]="","",CONCATENATE(Tabla1[[#This Row],[POA]],".",Tabla1[[#This Row],[SRS]],".",Tabla1[[#This Row],[AREA]],".",Tabla1[[#This Row],[TIPO]]))</f>
        <v/>
      </c>
      <c r="C278" s="14"/>
      <c r="D278" s="14"/>
      <c r="E278" s="14"/>
      <c r="F278" s="14"/>
      <c r="G278" s="265"/>
      <c r="H278" s="266" t="s">
        <v>544</v>
      </c>
      <c r="I278" s="266" t="s">
        <v>540</v>
      </c>
      <c r="J278" s="265">
        <v>1</v>
      </c>
      <c r="K278" s="268">
        <v>1200</v>
      </c>
      <c r="L278" s="268">
        <f>+Tabla1[[#This Row],[Precio Unitario]]*Tabla1[[#This Row],[Cantidad de Insumos]]</f>
        <v>1200</v>
      </c>
      <c r="M278" s="269" t="s">
        <v>545</v>
      </c>
      <c r="N278" s="266" t="s">
        <v>66</v>
      </c>
      <c r="O278" s="406"/>
      <c r="P278" s="406"/>
      <c r="Q278" s="406"/>
      <c r="R278" s="406"/>
      <c r="S278" s="406"/>
      <c r="T278" s="406"/>
      <c r="U278" s="406"/>
      <c r="V278" s="406"/>
      <c r="W278" s="406"/>
      <c r="X278" s="406"/>
      <c r="Y278" s="406"/>
      <c r="Z278" s="406"/>
      <c r="AA278" s="406"/>
      <c r="AB278" s="406"/>
      <c r="AC278" s="406"/>
      <c r="AD278" s="406"/>
      <c r="AE278" s="406"/>
      <c r="AF278" s="406"/>
      <c r="AG278" s="406"/>
      <c r="AH278" s="406"/>
      <c r="AI278" s="406"/>
      <c r="AJ278" s="406"/>
      <c r="AK278" s="406"/>
      <c r="AL278" s="406"/>
      <c r="AM278" s="406"/>
      <c r="AN278" s="406"/>
      <c r="AO278" s="406"/>
      <c r="AP278" s="406"/>
      <c r="AQ278" s="406"/>
    </row>
    <row r="279" spans="1:43" s="407" customFormat="1" ht="12.75" x14ac:dyDescent="0.2">
      <c r="A279" s="406"/>
      <c r="B279" s="14" t="str">
        <f>IF(Tabla1[[#This Row],[Código_Actividad]]="","",CONCATENATE(Tabla1[[#This Row],[POA]],".",Tabla1[[#This Row],[SRS]],".",Tabla1[[#This Row],[AREA]],".",Tabla1[[#This Row],[TIPO]]))</f>
        <v/>
      </c>
      <c r="C279" s="14"/>
      <c r="D279" s="14"/>
      <c r="E279" s="14"/>
      <c r="F279" s="14"/>
      <c r="G279" s="265"/>
      <c r="H279" s="266" t="s">
        <v>546</v>
      </c>
      <c r="I279" s="266" t="s">
        <v>526</v>
      </c>
      <c r="J279" s="265">
        <v>1</v>
      </c>
      <c r="K279" s="268">
        <v>100</v>
      </c>
      <c r="L279" s="268">
        <f>+Tabla1[[#This Row],[Precio Unitario]]*Tabla1[[#This Row],[Cantidad de Insumos]]</f>
        <v>100</v>
      </c>
      <c r="M279" s="269" t="s">
        <v>529</v>
      </c>
      <c r="N279" s="266" t="s">
        <v>508</v>
      </c>
      <c r="O279" s="406"/>
      <c r="P279" s="406"/>
      <c r="Q279" s="406"/>
      <c r="R279" s="406"/>
      <c r="S279" s="406"/>
      <c r="T279" s="406"/>
      <c r="U279" s="406"/>
      <c r="V279" s="406"/>
      <c r="W279" s="406"/>
      <c r="X279" s="406"/>
      <c r="Y279" s="406"/>
      <c r="Z279" s="406"/>
      <c r="AA279" s="406"/>
      <c r="AB279" s="406"/>
      <c r="AC279" s="406"/>
      <c r="AD279" s="406"/>
      <c r="AE279" s="406"/>
      <c r="AF279" s="406"/>
      <c r="AG279" s="406"/>
      <c r="AH279" s="406"/>
      <c r="AI279" s="406"/>
      <c r="AJ279" s="406"/>
      <c r="AK279" s="406"/>
      <c r="AL279" s="406"/>
      <c r="AM279" s="406"/>
      <c r="AN279" s="406"/>
      <c r="AO279" s="406"/>
      <c r="AP279" s="406"/>
      <c r="AQ279" s="406"/>
    </row>
    <row r="280" spans="1:43" s="407" customFormat="1" ht="12.75" x14ac:dyDescent="0.2">
      <c r="A280" s="406"/>
      <c r="B280" s="14" t="str">
        <f>IF(Tabla1[[#This Row],[Código_Actividad]]="","",CONCATENATE(Tabla1[[#This Row],[POA]],".",Tabla1[[#This Row],[SRS]],".",Tabla1[[#This Row],[AREA]],".",Tabla1[[#This Row],[TIPO]]))</f>
        <v>...</v>
      </c>
      <c r="C280" s="14" t="s">
        <v>523</v>
      </c>
      <c r="D280" s="14" t="s">
        <v>523</v>
      </c>
      <c r="E280" s="14" t="s">
        <v>523</v>
      </c>
      <c r="F280" s="14" t="s">
        <v>523</v>
      </c>
      <c r="G280" s="265" t="s">
        <v>483</v>
      </c>
      <c r="H280" s="266" t="s">
        <v>525</v>
      </c>
      <c r="I280" s="266" t="s">
        <v>526</v>
      </c>
      <c r="J280" s="265">
        <v>1</v>
      </c>
      <c r="K280" s="267">
        <v>35000</v>
      </c>
      <c r="L280" s="268">
        <f>+Tabla1[[#This Row],[Precio Unitario]]*Tabla1[[#This Row],[Cantidad de Insumos]]</f>
        <v>35000</v>
      </c>
      <c r="M280" s="269" t="s">
        <v>527</v>
      </c>
      <c r="N280" s="266" t="s">
        <v>508</v>
      </c>
      <c r="O280" s="406"/>
      <c r="P280" s="406"/>
      <c r="Q280" s="406"/>
      <c r="R280" s="406"/>
      <c r="S280" s="406"/>
      <c r="T280" s="406"/>
      <c r="U280" s="406"/>
      <c r="V280" s="406"/>
      <c r="W280" s="406"/>
      <c r="X280" s="406"/>
      <c r="Y280" s="406"/>
      <c r="Z280" s="406"/>
      <c r="AA280" s="406"/>
      <c r="AB280" s="406"/>
      <c r="AC280" s="406"/>
      <c r="AD280" s="406"/>
      <c r="AE280" s="406"/>
      <c r="AF280" s="406"/>
      <c r="AG280" s="406"/>
      <c r="AH280" s="406"/>
      <c r="AI280" s="406"/>
      <c r="AJ280" s="406"/>
      <c r="AK280" s="406"/>
      <c r="AL280" s="406"/>
      <c r="AM280" s="406"/>
      <c r="AN280" s="406"/>
      <c r="AO280" s="406"/>
      <c r="AP280" s="406"/>
      <c r="AQ280" s="406"/>
    </row>
    <row r="281" spans="1:43" s="407" customFormat="1" ht="12.75" x14ac:dyDescent="0.2">
      <c r="A281" s="406"/>
      <c r="B281" s="14" t="str">
        <f>IF(Tabla1[[#This Row],[Código_Actividad]]="","",CONCATENATE(Tabla1[[#This Row],[POA]],".",Tabla1[[#This Row],[SRS]],".",Tabla1[[#This Row],[AREA]],".",Tabla1[[#This Row],[TIPO]]))</f>
        <v/>
      </c>
      <c r="C281" s="14"/>
      <c r="D281" s="14"/>
      <c r="E281" s="14"/>
      <c r="F281" s="14"/>
      <c r="G281" s="265"/>
      <c r="H281" s="266" t="s">
        <v>534</v>
      </c>
      <c r="I281" s="266" t="s">
        <v>526</v>
      </c>
      <c r="J281" s="265">
        <v>1</v>
      </c>
      <c r="K281" s="268">
        <v>1400</v>
      </c>
      <c r="L281" s="268">
        <f>+Tabla1[[#This Row],[Precio Unitario]]*Tabla1[[#This Row],[Cantidad de Insumos]]</f>
        <v>1400</v>
      </c>
      <c r="M281" s="269" t="s">
        <v>529</v>
      </c>
      <c r="N281" s="266" t="s">
        <v>66</v>
      </c>
      <c r="O281" s="406"/>
      <c r="P281" s="406"/>
      <c r="Q281" s="406"/>
      <c r="R281" s="406"/>
      <c r="S281" s="406"/>
      <c r="T281" s="406"/>
      <c r="U281" s="406"/>
      <c r="V281" s="406"/>
      <c r="W281" s="406"/>
      <c r="X281" s="406"/>
      <c r="Y281" s="406"/>
      <c r="Z281" s="406"/>
      <c r="AA281" s="406"/>
      <c r="AB281" s="406"/>
      <c r="AC281" s="406"/>
      <c r="AD281" s="406"/>
      <c r="AE281" s="406"/>
      <c r="AF281" s="406"/>
      <c r="AG281" s="406"/>
      <c r="AH281" s="406"/>
      <c r="AI281" s="406"/>
      <c r="AJ281" s="406"/>
      <c r="AK281" s="406"/>
      <c r="AL281" s="406"/>
      <c r="AM281" s="406"/>
      <c r="AN281" s="406"/>
      <c r="AO281" s="406"/>
      <c r="AP281" s="406"/>
      <c r="AQ281" s="406"/>
    </row>
    <row r="282" spans="1:43" s="407" customFormat="1" ht="12.75" x14ac:dyDescent="0.2">
      <c r="A282" s="406"/>
      <c r="B282" s="14" t="str">
        <f>IF(Tabla1[[#This Row],[Código_Actividad]]="","",CONCATENATE(Tabla1[[#This Row],[POA]],".",Tabla1[[#This Row],[SRS]],".",Tabla1[[#This Row],[AREA]],".",Tabla1[[#This Row],[TIPO]]))</f>
        <v/>
      </c>
      <c r="C282" s="14"/>
      <c r="D282" s="14"/>
      <c r="E282" s="14"/>
      <c r="F282" s="14"/>
      <c r="G282" s="265"/>
      <c r="H282" s="266" t="s">
        <v>535</v>
      </c>
      <c r="I282" s="266" t="s">
        <v>536</v>
      </c>
      <c r="J282" s="265">
        <v>1</v>
      </c>
      <c r="K282" s="268">
        <v>500</v>
      </c>
      <c r="L282" s="268">
        <f>+Tabla1[[#This Row],[Precio Unitario]]*Tabla1[[#This Row],[Cantidad de Insumos]]</f>
        <v>500</v>
      </c>
      <c r="M282" s="269" t="s">
        <v>533</v>
      </c>
      <c r="N282" s="266" t="s">
        <v>66</v>
      </c>
      <c r="O282" s="406"/>
      <c r="P282" s="406"/>
      <c r="Q282" s="406"/>
      <c r="R282" s="406"/>
      <c r="S282" s="406"/>
      <c r="T282" s="406"/>
      <c r="U282" s="406"/>
      <c r="V282" s="406"/>
      <c r="W282" s="406"/>
      <c r="X282" s="406"/>
      <c r="Y282" s="406"/>
      <c r="Z282" s="406"/>
      <c r="AA282" s="406"/>
      <c r="AB282" s="406"/>
      <c r="AC282" s="406"/>
      <c r="AD282" s="406"/>
      <c r="AE282" s="406"/>
      <c r="AF282" s="406"/>
      <c r="AG282" s="406"/>
      <c r="AH282" s="406"/>
      <c r="AI282" s="406"/>
      <c r="AJ282" s="406"/>
      <c r="AK282" s="406"/>
      <c r="AL282" s="406"/>
      <c r="AM282" s="406"/>
      <c r="AN282" s="406"/>
      <c r="AO282" s="406"/>
      <c r="AP282" s="406"/>
      <c r="AQ282" s="406"/>
    </row>
    <row r="283" spans="1:43" s="407" customFormat="1" ht="12.75" x14ac:dyDescent="0.2">
      <c r="A283" s="406"/>
      <c r="B283" s="14" t="str">
        <f>IF(Tabla1[[#This Row],[Código_Actividad]]="","",CONCATENATE(Tabla1[[#This Row],[POA]],".",Tabla1[[#This Row],[SRS]],".",Tabla1[[#This Row],[AREA]],".",Tabla1[[#This Row],[TIPO]]))</f>
        <v/>
      </c>
      <c r="C283" s="14"/>
      <c r="D283" s="14"/>
      <c r="E283" s="14"/>
      <c r="F283" s="14"/>
      <c r="G283" s="265"/>
      <c r="H283" s="266" t="s">
        <v>537</v>
      </c>
      <c r="I283" s="266" t="s">
        <v>526</v>
      </c>
      <c r="J283" s="265">
        <v>1</v>
      </c>
      <c r="K283" s="268">
        <v>180</v>
      </c>
      <c r="L283" s="268">
        <f>+Tabla1[[#This Row],[Precio Unitario]]*Tabla1[[#This Row],[Cantidad de Insumos]]</f>
        <v>180</v>
      </c>
      <c r="M283" s="269" t="s">
        <v>538</v>
      </c>
      <c r="N283" s="266" t="s">
        <v>66</v>
      </c>
      <c r="O283" s="406"/>
      <c r="P283" s="406"/>
      <c r="Q283" s="406"/>
      <c r="R283" s="406"/>
      <c r="S283" s="406"/>
      <c r="T283" s="406"/>
      <c r="U283" s="406"/>
      <c r="V283" s="406"/>
      <c r="W283" s="406"/>
      <c r="X283" s="406"/>
      <c r="Y283" s="406"/>
      <c r="Z283" s="406"/>
      <c r="AA283" s="406"/>
      <c r="AB283" s="406"/>
      <c r="AC283" s="406"/>
      <c r="AD283" s="406"/>
      <c r="AE283" s="406"/>
      <c r="AF283" s="406"/>
      <c r="AG283" s="406"/>
      <c r="AH283" s="406"/>
      <c r="AI283" s="406"/>
      <c r="AJ283" s="406"/>
      <c r="AK283" s="406"/>
      <c r="AL283" s="406"/>
      <c r="AM283" s="406"/>
      <c r="AN283" s="406"/>
      <c r="AO283" s="406"/>
      <c r="AP283" s="406"/>
      <c r="AQ283" s="406"/>
    </row>
    <row r="284" spans="1:43" s="407" customFormat="1" ht="12.75" x14ac:dyDescent="0.2">
      <c r="A284" s="406"/>
      <c r="B284" s="14" t="str">
        <f>IF(Tabla1[[#This Row],[Código_Actividad]]="","",CONCATENATE(Tabla1[[#This Row],[POA]],".",Tabla1[[#This Row],[SRS]],".",Tabla1[[#This Row],[AREA]],".",Tabla1[[#This Row],[TIPO]]))</f>
        <v/>
      </c>
      <c r="C284" s="14"/>
      <c r="D284" s="14"/>
      <c r="E284" s="14"/>
      <c r="F284" s="14"/>
      <c r="G284" s="265"/>
      <c r="H284" s="266" t="s">
        <v>539</v>
      </c>
      <c r="I284" s="266" t="s">
        <v>540</v>
      </c>
      <c r="J284" s="265">
        <v>1</v>
      </c>
      <c r="K284" s="268">
        <v>120</v>
      </c>
      <c r="L284" s="268">
        <f>+Tabla1[[#This Row],[Precio Unitario]]*Tabla1[[#This Row],[Cantidad de Insumos]]</f>
        <v>120</v>
      </c>
      <c r="M284" s="269" t="s">
        <v>529</v>
      </c>
      <c r="N284" s="266" t="s">
        <v>66</v>
      </c>
      <c r="O284" s="406"/>
      <c r="P284" s="406"/>
      <c r="Q284" s="406"/>
      <c r="R284" s="406"/>
      <c r="S284" s="406"/>
      <c r="T284" s="406"/>
      <c r="U284" s="406"/>
      <c r="V284" s="406"/>
      <c r="W284" s="406"/>
      <c r="X284" s="406"/>
      <c r="Y284" s="406"/>
      <c r="Z284" s="406"/>
      <c r="AA284" s="406"/>
      <c r="AB284" s="406"/>
      <c r="AC284" s="406"/>
      <c r="AD284" s="406"/>
      <c r="AE284" s="406"/>
      <c r="AF284" s="406"/>
      <c r="AG284" s="406"/>
      <c r="AH284" s="406"/>
      <c r="AI284" s="406"/>
      <c r="AJ284" s="406"/>
      <c r="AK284" s="406"/>
      <c r="AL284" s="406"/>
      <c r="AM284" s="406"/>
      <c r="AN284" s="406"/>
      <c r="AO284" s="406"/>
      <c r="AP284" s="406"/>
      <c r="AQ284" s="406"/>
    </row>
    <row r="285" spans="1:43" s="407" customFormat="1" ht="12.75" x14ac:dyDescent="0.2">
      <c r="A285" s="406"/>
      <c r="B285" s="14" t="str">
        <f>IF(Tabla1[[#This Row],[Código_Actividad]]="","",CONCATENATE(Tabla1[[#This Row],[POA]],".",Tabla1[[#This Row],[SRS]],".",Tabla1[[#This Row],[AREA]],".",Tabla1[[#This Row],[TIPO]]))</f>
        <v/>
      </c>
      <c r="C285" s="14"/>
      <c r="D285" s="14"/>
      <c r="E285" s="14"/>
      <c r="F285" s="14"/>
      <c r="G285" s="265"/>
      <c r="H285" s="266" t="s">
        <v>541</v>
      </c>
      <c r="I285" s="266" t="s">
        <v>526</v>
      </c>
      <c r="J285" s="265">
        <v>1</v>
      </c>
      <c r="K285" s="268">
        <v>4500</v>
      </c>
      <c r="L285" s="268">
        <f>+Tabla1[[#This Row],[Precio Unitario]]*Tabla1[[#This Row],[Cantidad de Insumos]]</f>
        <v>4500</v>
      </c>
      <c r="M285" s="269" t="s">
        <v>542</v>
      </c>
      <c r="N285" s="266" t="s">
        <v>66</v>
      </c>
      <c r="O285" s="406"/>
      <c r="P285" s="406"/>
      <c r="Q285" s="406"/>
      <c r="R285" s="406"/>
      <c r="S285" s="406"/>
      <c r="T285" s="406"/>
      <c r="U285" s="406"/>
      <c r="V285" s="406"/>
      <c r="W285" s="406"/>
      <c r="X285" s="406"/>
      <c r="Y285" s="406"/>
      <c r="Z285" s="406"/>
      <c r="AA285" s="406"/>
      <c r="AB285" s="406"/>
      <c r="AC285" s="406"/>
      <c r="AD285" s="406"/>
      <c r="AE285" s="406"/>
      <c r="AF285" s="406"/>
      <c r="AG285" s="406"/>
      <c r="AH285" s="406"/>
      <c r="AI285" s="406"/>
      <c r="AJ285" s="406"/>
      <c r="AK285" s="406"/>
      <c r="AL285" s="406"/>
      <c r="AM285" s="406"/>
      <c r="AN285" s="406"/>
      <c r="AO285" s="406"/>
      <c r="AP285" s="406"/>
      <c r="AQ285" s="406"/>
    </row>
    <row r="286" spans="1:43" s="407" customFormat="1" ht="12.75" x14ac:dyDescent="0.2">
      <c r="A286" s="406"/>
      <c r="B286" s="14" t="str">
        <f>IF(Tabla1[[#This Row],[Código_Actividad]]="","",CONCATENATE(Tabla1[[#This Row],[POA]],".",Tabla1[[#This Row],[SRS]],".",Tabla1[[#This Row],[AREA]],".",Tabla1[[#This Row],[TIPO]]))</f>
        <v/>
      </c>
      <c r="C286" s="14"/>
      <c r="D286" s="14"/>
      <c r="E286" s="14"/>
      <c r="F286" s="14"/>
      <c r="G286" s="265"/>
      <c r="H286" s="266" t="s">
        <v>543</v>
      </c>
      <c r="I286" s="266" t="s">
        <v>540</v>
      </c>
      <c r="J286" s="265">
        <v>1</v>
      </c>
      <c r="K286" s="268">
        <v>600</v>
      </c>
      <c r="L286" s="268">
        <f>+Tabla1[[#This Row],[Precio Unitario]]*Tabla1[[#This Row],[Cantidad de Insumos]]</f>
        <v>600</v>
      </c>
      <c r="M286" s="269" t="s">
        <v>529</v>
      </c>
      <c r="N286" s="266" t="s">
        <v>66</v>
      </c>
      <c r="O286" s="406"/>
      <c r="P286" s="406"/>
      <c r="Q286" s="406"/>
      <c r="R286" s="406"/>
      <c r="S286" s="406"/>
      <c r="T286" s="406"/>
      <c r="U286" s="406"/>
      <c r="V286" s="406"/>
      <c r="W286" s="406"/>
      <c r="X286" s="406"/>
      <c r="Y286" s="406"/>
      <c r="Z286" s="406"/>
      <c r="AA286" s="406"/>
      <c r="AB286" s="406"/>
      <c r="AC286" s="406"/>
      <c r="AD286" s="406"/>
      <c r="AE286" s="406"/>
      <c r="AF286" s="406"/>
      <c r="AG286" s="406"/>
      <c r="AH286" s="406"/>
      <c r="AI286" s="406"/>
      <c r="AJ286" s="406"/>
      <c r="AK286" s="406"/>
      <c r="AL286" s="406"/>
      <c r="AM286" s="406"/>
      <c r="AN286" s="406"/>
      <c r="AO286" s="406"/>
      <c r="AP286" s="406"/>
      <c r="AQ286" s="406"/>
    </row>
    <row r="287" spans="1:43" s="407" customFormat="1" ht="12.75" x14ac:dyDescent="0.2">
      <c r="A287" s="406"/>
      <c r="B287" s="14" t="str">
        <f>IF(Tabla1[[#This Row],[Código_Actividad]]="","",CONCATENATE(Tabla1[[#This Row],[POA]],".",Tabla1[[#This Row],[SRS]],".",Tabla1[[#This Row],[AREA]],".",Tabla1[[#This Row],[TIPO]]))</f>
        <v/>
      </c>
      <c r="C287" s="14"/>
      <c r="D287" s="14"/>
      <c r="E287" s="14"/>
      <c r="F287" s="14"/>
      <c r="G287" s="265"/>
      <c r="H287" s="266" t="s">
        <v>530</v>
      </c>
      <c r="I287" s="405" t="s">
        <v>526</v>
      </c>
      <c r="J287" s="265">
        <v>4</v>
      </c>
      <c r="K287" s="268">
        <v>30</v>
      </c>
      <c r="L287" s="268">
        <f>+Tabla1[[#This Row],[Precio Unitario]]*Tabla1[[#This Row],[Cantidad de Insumos]]</f>
        <v>120</v>
      </c>
      <c r="M287" s="269" t="s">
        <v>529</v>
      </c>
      <c r="N287" s="266" t="s">
        <v>66</v>
      </c>
      <c r="O287" s="406"/>
      <c r="P287" s="406"/>
      <c r="Q287" s="406"/>
      <c r="R287" s="406"/>
      <c r="S287" s="406"/>
      <c r="T287" s="406"/>
      <c r="U287" s="406"/>
      <c r="V287" s="406"/>
      <c r="W287" s="406"/>
      <c r="X287" s="406"/>
      <c r="Y287" s="406"/>
      <c r="Z287" s="406"/>
      <c r="AA287" s="406"/>
      <c r="AB287" s="406"/>
      <c r="AC287" s="406"/>
      <c r="AD287" s="406"/>
      <c r="AE287" s="406"/>
      <c r="AF287" s="406"/>
      <c r="AG287" s="406"/>
      <c r="AH287" s="406"/>
      <c r="AI287" s="406"/>
      <c r="AJ287" s="406"/>
      <c r="AK287" s="406"/>
      <c r="AL287" s="406"/>
      <c r="AM287" s="406"/>
      <c r="AN287" s="406"/>
      <c r="AO287" s="406"/>
      <c r="AP287" s="406"/>
      <c r="AQ287" s="406"/>
    </row>
    <row r="288" spans="1:43" s="407" customFormat="1" ht="12.75" x14ac:dyDescent="0.2">
      <c r="A288" s="406"/>
      <c r="B288" s="14" t="str">
        <f>IF(Tabla1[[#This Row],[Código_Actividad]]="","",CONCATENATE(Tabla1[[#This Row],[POA]],".",Tabla1[[#This Row],[SRS]],".",Tabla1[[#This Row],[AREA]],".",Tabla1[[#This Row],[TIPO]]))</f>
        <v/>
      </c>
      <c r="C288" s="14"/>
      <c r="D288" s="14"/>
      <c r="E288" s="14"/>
      <c r="F288" s="14"/>
      <c r="G288" s="265"/>
      <c r="H288" s="266" t="s">
        <v>531</v>
      </c>
      <c r="I288" s="405" t="s">
        <v>532</v>
      </c>
      <c r="J288" s="265">
        <v>1</v>
      </c>
      <c r="K288" s="268">
        <v>150</v>
      </c>
      <c r="L288" s="268">
        <f>+Tabla1[[#This Row],[Precio Unitario]]*Tabla1[[#This Row],[Cantidad de Insumos]]</f>
        <v>150</v>
      </c>
      <c r="M288" s="269" t="s">
        <v>533</v>
      </c>
      <c r="N288" s="266" t="s">
        <v>66</v>
      </c>
      <c r="O288" s="406"/>
      <c r="P288" s="406"/>
      <c r="Q288" s="406"/>
      <c r="R288" s="406"/>
      <c r="S288" s="406"/>
      <c r="T288" s="406"/>
      <c r="U288" s="406"/>
      <c r="V288" s="406"/>
      <c r="W288" s="406"/>
      <c r="X288" s="406"/>
      <c r="Y288" s="406"/>
      <c r="Z288" s="406"/>
      <c r="AA288" s="406"/>
      <c r="AB288" s="406"/>
      <c r="AC288" s="406"/>
      <c r="AD288" s="406"/>
      <c r="AE288" s="406"/>
      <c r="AF288" s="406"/>
      <c r="AG288" s="406"/>
      <c r="AH288" s="406"/>
      <c r="AI288" s="406"/>
      <c r="AJ288" s="406"/>
      <c r="AK288" s="406"/>
      <c r="AL288" s="406"/>
      <c r="AM288" s="406"/>
      <c r="AN288" s="406"/>
      <c r="AO288" s="406"/>
      <c r="AP288" s="406"/>
      <c r="AQ288" s="406"/>
    </row>
    <row r="289" spans="1:43" s="407" customFormat="1" ht="12.75" x14ac:dyDescent="0.2">
      <c r="A289" s="406"/>
      <c r="B289" s="14" t="str">
        <f>IF(Tabla1[[#This Row],[Código_Actividad]]="","",CONCATENATE(Tabla1[[#This Row],[POA]],".",Tabla1[[#This Row],[SRS]],".",Tabla1[[#This Row],[AREA]],".",Tabla1[[#This Row],[TIPO]]))</f>
        <v/>
      </c>
      <c r="C289" s="14"/>
      <c r="D289" s="14"/>
      <c r="E289" s="14"/>
      <c r="F289" s="14"/>
      <c r="G289" s="265"/>
      <c r="H289" s="266" t="s">
        <v>544</v>
      </c>
      <c r="I289" s="266" t="s">
        <v>540</v>
      </c>
      <c r="J289" s="265">
        <v>1</v>
      </c>
      <c r="K289" s="268">
        <v>1200</v>
      </c>
      <c r="L289" s="268">
        <f>+Tabla1[[#This Row],[Precio Unitario]]*Tabla1[[#This Row],[Cantidad de Insumos]]</f>
        <v>1200</v>
      </c>
      <c r="M289" s="269" t="s">
        <v>545</v>
      </c>
      <c r="N289" s="266" t="s">
        <v>66</v>
      </c>
      <c r="O289" s="406"/>
      <c r="P289" s="406"/>
      <c r="Q289" s="406"/>
      <c r="R289" s="406"/>
      <c r="S289" s="406"/>
      <c r="T289" s="406"/>
      <c r="U289" s="406"/>
      <c r="V289" s="406"/>
      <c r="W289" s="406"/>
      <c r="X289" s="406"/>
      <c r="Y289" s="406"/>
      <c r="Z289" s="406"/>
      <c r="AA289" s="406"/>
      <c r="AB289" s="406"/>
      <c r="AC289" s="406"/>
      <c r="AD289" s="406"/>
      <c r="AE289" s="406"/>
      <c r="AF289" s="406"/>
      <c r="AG289" s="406"/>
      <c r="AH289" s="406"/>
      <c r="AI289" s="406"/>
      <c r="AJ289" s="406"/>
      <c r="AK289" s="406"/>
      <c r="AL289" s="406"/>
      <c r="AM289" s="406"/>
      <c r="AN289" s="406"/>
      <c r="AO289" s="406"/>
      <c r="AP289" s="406"/>
      <c r="AQ289" s="406"/>
    </row>
    <row r="290" spans="1:43" s="407" customFormat="1" ht="12.75" x14ac:dyDescent="0.2">
      <c r="A290" s="406"/>
      <c r="B290" s="14" t="str">
        <f>IF(Tabla1[[#This Row],[Código_Actividad]]="","",CONCATENATE(Tabla1[[#This Row],[POA]],".",Tabla1[[#This Row],[SRS]],".",Tabla1[[#This Row],[AREA]],".",Tabla1[[#This Row],[TIPO]]))</f>
        <v/>
      </c>
      <c r="C290" s="14"/>
      <c r="D290" s="14"/>
      <c r="E290" s="14"/>
      <c r="F290" s="14"/>
      <c r="G290" s="265"/>
      <c r="H290" s="266" t="s">
        <v>546</v>
      </c>
      <c r="I290" s="266" t="s">
        <v>526</v>
      </c>
      <c r="J290" s="265">
        <v>1</v>
      </c>
      <c r="K290" s="268">
        <v>100</v>
      </c>
      <c r="L290" s="268">
        <f>+Tabla1[[#This Row],[Precio Unitario]]*Tabla1[[#This Row],[Cantidad de Insumos]]</f>
        <v>100</v>
      </c>
      <c r="M290" s="269" t="s">
        <v>529</v>
      </c>
      <c r="N290" s="266" t="s">
        <v>508</v>
      </c>
      <c r="O290" s="406"/>
      <c r="P290" s="406"/>
      <c r="Q290" s="406"/>
      <c r="R290" s="406"/>
      <c r="S290" s="406"/>
      <c r="T290" s="406"/>
      <c r="U290" s="406"/>
      <c r="V290" s="406"/>
      <c r="W290" s="406"/>
      <c r="X290" s="406"/>
      <c r="Y290" s="406"/>
      <c r="Z290" s="406"/>
      <c r="AA290" s="406"/>
      <c r="AB290" s="406"/>
      <c r="AC290" s="406"/>
      <c r="AD290" s="406"/>
      <c r="AE290" s="406"/>
      <c r="AF290" s="406"/>
      <c r="AG290" s="406"/>
      <c r="AH290" s="406"/>
      <c r="AI290" s="406"/>
      <c r="AJ290" s="406"/>
      <c r="AK290" s="406"/>
      <c r="AL290" s="406"/>
      <c r="AM290" s="406"/>
      <c r="AN290" s="406"/>
      <c r="AO290" s="406"/>
      <c r="AP290" s="406"/>
      <c r="AQ290" s="406"/>
    </row>
    <row r="291" spans="1:43" s="407" customFormat="1" ht="12.75" x14ac:dyDescent="0.2">
      <c r="A291" s="406"/>
      <c r="B291" s="14" t="str">
        <f>IF(Tabla1[[#This Row],[Código_Actividad]]="","",CONCATENATE(Tabla1[[#This Row],[POA]],".",Tabla1[[#This Row],[SRS]],".",Tabla1[[#This Row],[AREA]],".",Tabla1[[#This Row],[TIPO]]))</f>
        <v>...</v>
      </c>
      <c r="C291" s="14" t="s">
        <v>523</v>
      </c>
      <c r="D291" s="14" t="s">
        <v>523</v>
      </c>
      <c r="E291" s="14" t="s">
        <v>523</v>
      </c>
      <c r="F291" s="14" t="s">
        <v>523</v>
      </c>
      <c r="G291" s="265" t="s">
        <v>486</v>
      </c>
      <c r="H291" s="266" t="s">
        <v>525</v>
      </c>
      <c r="I291" s="266" t="s">
        <v>526</v>
      </c>
      <c r="J291" s="265">
        <v>1</v>
      </c>
      <c r="K291" s="267">
        <v>35000</v>
      </c>
      <c r="L291" s="268">
        <f>+Tabla1[[#This Row],[Precio Unitario]]*Tabla1[[#This Row],[Cantidad de Insumos]]</f>
        <v>35000</v>
      </c>
      <c r="M291" s="269" t="s">
        <v>527</v>
      </c>
      <c r="N291" s="266" t="s">
        <v>508</v>
      </c>
      <c r="O291" s="406"/>
      <c r="P291" s="406"/>
      <c r="Q291" s="406"/>
      <c r="R291" s="406"/>
      <c r="S291" s="406"/>
      <c r="T291" s="406"/>
      <c r="U291" s="406"/>
      <c r="V291" s="406"/>
      <c r="W291" s="406"/>
      <c r="X291" s="406"/>
      <c r="Y291" s="406"/>
      <c r="Z291" s="406"/>
      <c r="AA291" s="406"/>
      <c r="AB291" s="406"/>
      <c r="AC291" s="406"/>
      <c r="AD291" s="406"/>
      <c r="AE291" s="406"/>
      <c r="AF291" s="406"/>
      <c r="AG291" s="406"/>
      <c r="AH291" s="406"/>
      <c r="AI291" s="406"/>
      <c r="AJ291" s="406"/>
      <c r="AK291" s="406"/>
      <c r="AL291" s="406"/>
      <c r="AM291" s="406"/>
      <c r="AN291" s="406"/>
      <c r="AO291" s="406"/>
      <c r="AP291" s="406"/>
      <c r="AQ291" s="406"/>
    </row>
    <row r="292" spans="1:43" s="407" customFormat="1" ht="12.75" x14ac:dyDescent="0.2">
      <c r="A292" s="406"/>
      <c r="B292" s="14" t="str">
        <f>IF(Tabla1[[#This Row],[Código_Actividad]]="","",CONCATENATE(Tabla1[[#This Row],[POA]],".",Tabla1[[#This Row],[SRS]],".",Tabla1[[#This Row],[AREA]],".",Tabla1[[#This Row],[TIPO]]))</f>
        <v/>
      </c>
      <c r="C292" s="14" t="s">
        <v>523</v>
      </c>
      <c r="D292" s="14" t="s">
        <v>523</v>
      </c>
      <c r="E292" s="14" t="s">
        <v>523</v>
      </c>
      <c r="F292" s="14" t="s">
        <v>523</v>
      </c>
      <c r="G292" s="265"/>
      <c r="H292" s="266" t="s">
        <v>547</v>
      </c>
      <c r="I292" s="266" t="s">
        <v>526</v>
      </c>
      <c r="J292" s="265">
        <v>1</v>
      </c>
      <c r="K292" s="268">
        <v>60000</v>
      </c>
      <c r="L292" s="268">
        <f>+Tabla1[[#This Row],[Precio Unitario]]*Tabla1[[#This Row],[Cantidad de Insumos]]</f>
        <v>60000</v>
      </c>
      <c r="M292" s="269" t="s">
        <v>527</v>
      </c>
      <c r="N292" s="266" t="s">
        <v>508</v>
      </c>
      <c r="O292" s="406"/>
      <c r="P292" s="406"/>
      <c r="Q292" s="406"/>
      <c r="R292" s="406"/>
      <c r="S292" s="406"/>
      <c r="T292" s="406"/>
      <c r="U292" s="406"/>
      <c r="V292" s="406"/>
      <c r="W292" s="406"/>
      <c r="X292" s="406"/>
      <c r="Y292" s="406"/>
      <c r="Z292" s="406"/>
      <c r="AA292" s="406"/>
      <c r="AB292" s="406"/>
      <c r="AC292" s="406"/>
      <c r="AD292" s="406"/>
      <c r="AE292" s="406"/>
      <c r="AF292" s="406"/>
      <c r="AG292" s="406"/>
      <c r="AH292" s="406"/>
      <c r="AI292" s="406"/>
      <c r="AJ292" s="406"/>
      <c r="AK292" s="406"/>
      <c r="AL292" s="406"/>
      <c r="AM292" s="406"/>
      <c r="AN292" s="406"/>
      <c r="AO292" s="406"/>
      <c r="AP292" s="406"/>
      <c r="AQ292" s="406"/>
    </row>
    <row r="293" spans="1:43" s="407" customFormat="1" ht="12.75" x14ac:dyDescent="0.2">
      <c r="A293" s="406"/>
      <c r="B293" s="14" t="str">
        <f>IF(Tabla1[[#This Row],[Código_Actividad]]="","",CONCATENATE(Tabla1[[#This Row],[POA]],".",Tabla1[[#This Row],[SRS]],".",Tabla1[[#This Row],[AREA]],".",Tabla1[[#This Row],[TIPO]]))</f>
        <v/>
      </c>
      <c r="C293" s="14" t="s">
        <v>523</v>
      </c>
      <c r="D293" s="14" t="s">
        <v>523</v>
      </c>
      <c r="E293" s="14" t="s">
        <v>523</v>
      </c>
      <c r="F293" s="14" t="s">
        <v>523</v>
      </c>
      <c r="G293" s="265"/>
      <c r="H293" s="266" t="s">
        <v>534</v>
      </c>
      <c r="I293" s="266" t="s">
        <v>526</v>
      </c>
      <c r="J293" s="265">
        <v>1</v>
      </c>
      <c r="K293" s="268">
        <v>1400</v>
      </c>
      <c r="L293" s="268">
        <f>+Tabla1[[#This Row],[Precio Unitario]]*Tabla1[[#This Row],[Cantidad de Insumos]]</f>
        <v>1400</v>
      </c>
      <c r="M293" s="269" t="s">
        <v>529</v>
      </c>
      <c r="N293" s="266" t="s">
        <v>66</v>
      </c>
      <c r="O293" s="406"/>
      <c r="P293" s="406"/>
      <c r="Q293" s="406"/>
      <c r="R293" s="406"/>
      <c r="S293" s="406"/>
      <c r="T293" s="406"/>
      <c r="U293" s="406"/>
      <c r="V293" s="406"/>
      <c r="W293" s="406"/>
      <c r="X293" s="406"/>
      <c r="Y293" s="406"/>
      <c r="Z293" s="406"/>
      <c r="AA293" s="406"/>
      <c r="AB293" s="406"/>
      <c r="AC293" s="406"/>
      <c r="AD293" s="406"/>
      <c r="AE293" s="406"/>
      <c r="AF293" s="406"/>
      <c r="AG293" s="406"/>
      <c r="AH293" s="406"/>
      <c r="AI293" s="406"/>
      <c r="AJ293" s="406"/>
      <c r="AK293" s="406"/>
      <c r="AL293" s="406"/>
      <c r="AM293" s="406"/>
      <c r="AN293" s="406"/>
      <c r="AO293" s="406"/>
      <c r="AP293" s="406"/>
      <c r="AQ293" s="406"/>
    </row>
    <row r="294" spans="1:43" s="407" customFormat="1" ht="12.75" x14ac:dyDescent="0.2">
      <c r="A294" s="406"/>
      <c r="B294" s="14" t="str">
        <f>IF(Tabla1[[#This Row],[Código_Actividad]]="","",CONCATENATE(Tabla1[[#This Row],[POA]],".",Tabla1[[#This Row],[SRS]],".",Tabla1[[#This Row],[AREA]],".",Tabla1[[#This Row],[TIPO]]))</f>
        <v/>
      </c>
      <c r="C294" s="14" t="s">
        <v>523</v>
      </c>
      <c r="D294" s="14" t="s">
        <v>523</v>
      </c>
      <c r="E294" s="14" t="s">
        <v>523</v>
      </c>
      <c r="F294" s="14" t="s">
        <v>523</v>
      </c>
      <c r="G294" s="265"/>
      <c r="H294" s="266" t="s">
        <v>535</v>
      </c>
      <c r="I294" s="266" t="s">
        <v>536</v>
      </c>
      <c r="J294" s="265">
        <v>1</v>
      </c>
      <c r="K294" s="268">
        <v>500</v>
      </c>
      <c r="L294" s="268">
        <f>+Tabla1[[#This Row],[Precio Unitario]]*Tabla1[[#This Row],[Cantidad de Insumos]]</f>
        <v>500</v>
      </c>
      <c r="M294" s="269" t="s">
        <v>533</v>
      </c>
      <c r="N294" s="266" t="s">
        <v>66</v>
      </c>
      <c r="O294" s="406"/>
      <c r="P294" s="406"/>
      <c r="Q294" s="406"/>
      <c r="R294" s="406"/>
      <c r="S294" s="406"/>
      <c r="T294" s="406"/>
      <c r="U294" s="406"/>
      <c r="V294" s="406"/>
      <c r="W294" s="406"/>
      <c r="X294" s="406"/>
      <c r="Y294" s="406"/>
      <c r="Z294" s="406"/>
      <c r="AA294" s="406"/>
      <c r="AB294" s="406"/>
      <c r="AC294" s="406"/>
      <c r="AD294" s="406"/>
      <c r="AE294" s="406"/>
      <c r="AF294" s="406"/>
      <c r="AG294" s="406"/>
      <c r="AH294" s="406"/>
      <c r="AI294" s="406"/>
      <c r="AJ294" s="406"/>
      <c r="AK294" s="406"/>
      <c r="AL294" s="406"/>
      <c r="AM294" s="406"/>
      <c r="AN294" s="406"/>
      <c r="AO294" s="406"/>
      <c r="AP294" s="406"/>
      <c r="AQ294" s="406"/>
    </row>
    <row r="295" spans="1:43" s="407" customFormat="1" ht="12.75" x14ac:dyDescent="0.2">
      <c r="A295" s="406"/>
      <c r="B295" s="14" t="str">
        <f>IF(Tabla1[[#This Row],[Código_Actividad]]="","",CONCATENATE(Tabla1[[#This Row],[POA]],".",Tabla1[[#This Row],[SRS]],".",Tabla1[[#This Row],[AREA]],".",Tabla1[[#This Row],[TIPO]]))</f>
        <v/>
      </c>
      <c r="C295" s="14" t="s">
        <v>523</v>
      </c>
      <c r="D295" s="14" t="s">
        <v>523</v>
      </c>
      <c r="E295" s="14" t="s">
        <v>523</v>
      </c>
      <c r="F295" s="14" t="s">
        <v>523</v>
      </c>
      <c r="G295" s="265"/>
      <c r="H295" s="266" t="s">
        <v>537</v>
      </c>
      <c r="I295" s="266" t="s">
        <v>526</v>
      </c>
      <c r="J295" s="265">
        <v>1</v>
      </c>
      <c r="K295" s="268">
        <v>180</v>
      </c>
      <c r="L295" s="268">
        <f>+Tabla1[[#This Row],[Precio Unitario]]*Tabla1[[#This Row],[Cantidad de Insumos]]</f>
        <v>180</v>
      </c>
      <c r="M295" s="269" t="s">
        <v>538</v>
      </c>
      <c r="N295" s="266" t="s">
        <v>66</v>
      </c>
      <c r="O295" s="406"/>
      <c r="P295" s="406"/>
      <c r="Q295" s="406"/>
      <c r="R295" s="406"/>
      <c r="S295" s="406"/>
      <c r="T295" s="406"/>
      <c r="U295" s="406"/>
      <c r="V295" s="406"/>
      <c r="W295" s="406"/>
      <c r="X295" s="406"/>
      <c r="Y295" s="406"/>
      <c r="Z295" s="406"/>
      <c r="AA295" s="406"/>
      <c r="AB295" s="406"/>
      <c r="AC295" s="406"/>
      <c r="AD295" s="406"/>
      <c r="AE295" s="406"/>
      <c r="AF295" s="406"/>
      <c r="AG295" s="406"/>
      <c r="AH295" s="406"/>
      <c r="AI295" s="406"/>
      <c r="AJ295" s="406"/>
      <c r="AK295" s="406"/>
      <c r="AL295" s="406"/>
      <c r="AM295" s="406"/>
      <c r="AN295" s="406"/>
      <c r="AO295" s="406"/>
      <c r="AP295" s="406"/>
      <c r="AQ295" s="406"/>
    </row>
    <row r="296" spans="1:43" s="407" customFormat="1" ht="12.75" x14ac:dyDescent="0.2">
      <c r="A296" s="406"/>
      <c r="B296" s="14" t="str">
        <f>IF(Tabla1[[#This Row],[Código_Actividad]]="","",CONCATENATE(Tabla1[[#This Row],[POA]],".",Tabla1[[#This Row],[SRS]],".",Tabla1[[#This Row],[AREA]],".",Tabla1[[#This Row],[TIPO]]))</f>
        <v/>
      </c>
      <c r="C296" s="14" t="s">
        <v>523</v>
      </c>
      <c r="D296" s="14" t="s">
        <v>523</v>
      </c>
      <c r="E296" s="14" t="s">
        <v>523</v>
      </c>
      <c r="F296" s="14" t="s">
        <v>523</v>
      </c>
      <c r="G296" s="265"/>
      <c r="H296" s="266" t="s">
        <v>539</v>
      </c>
      <c r="I296" s="266" t="s">
        <v>540</v>
      </c>
      <c r="J296" s="265">
        <v>1</v>
      </c>
      <c r="K296" s="268">
        <v>120</v>
      </c>
      <c r="L296" s="268">
        <f>+Tabla1[[#This Row],[Precio Unitario]]*Tabla1[[#This Row],[Cantidad de Insumos]]</f>
        <v>120</v>
      </c>
      <c r="M296" s="269" t="s">
        <v>529</v>
      </c>
      <c r="N296" s="266" t="s">
        <v>66</v>
      </c>
      <c r="O296" s="406"/>
      <c r="P296" s="406"/>
      <c r="Q296" s="406"/>
      <c r="R296" s="406"/>
      <c r="S296" s="406"/>
      <c r="T296" s="406"/>
      <c r="U296" s="406"/>
      <c r="V296" s="406"/>
      <c r="W296" s="406"/>
      <c r="X296" s="406"/>
      <c r="Y296" s="406"/>
      <c r="Z296" s="406"/>
      <c r="AA296" s="406"/>
      <c r="AB296" s="406"/>
      <c r="AC296" s="406"/>
      <c r="AD296" s="406"/>
      <c r="AE296" s="406"/>
      <c r="AF296" s="406"/>
      <c r="AG296" s="406"/>
      <c r="AH296" s="406"/>
      <c r="AI296" s="406"/>
      <c r="AJ296" s="406"/>
      <c r="AK296" s="406"/>
      <c r="AL296" s="406"/>
      <c r="AM296" s="406"/>
      <c r="AN296" s="406"/>
      <c r="AO296" s="406"/>
      <c r="AP296" s="406"/>
      <c r="AQ296" s="406"/>
    </row>
    <row r="297" spans="1:43" s="407" customFormat="1" ht="12.75" x14ac:dyDescent="0.2">
      <c r="A297" s="406"/>
      <c r="B297" s="14" t="str">
        <f>IF(Tabla1[[#This Row],[Código_Actividad]]="","",CONCATENATE(Tabla1[[#This Row],[POA]],".",Tabla1[[#This Row],[SRS]],".",Tabla1[[#This Row],[AREA]],".",Tabla1[[#This Row],[TIPO]]))</f>
        <v/>
      </c>
      <c r="C297" s="14" t="s">
        <v>523</v>
      </c>
      <c r="D297" s="14" t="s">
        <v>523</v>
      </c>
      <c r="E297" s="14" t="s">
        <v>523</v>
      </c>
      <c r="F297" s="14" t="s">
        <v>523</v>
      </c>
      <c r="G297" s="265"/>
      <c r="H297" s="266" t="s">
        <v>541</v>
      </c>
      <c r="I297" s="266" t="s">
        <v>526</v>
      </c>
      <c r="J297" s="265">
        <v>1</v>
      </c>
      <c r="K297" s="268">
        <v>4500</v>
      </c>
      <c r="L297" s="268">
        <f>+Tabla1[[#This Row],[Precio Unitario]]*Tabla1[[#This Row],[Cantidad de Insumos]]</f>
        <v>4500</v>
      </c>
      <c r="M297" s="269" t="s">
        <v>542</v>
      </c>
      <c r="N297" s="266" t="s">
        <v>66</v>
      </c>
      <c r="O297" s="406"/>
      <c r="P297" s="406"/>
      <c r="Q297" s="406"/>
      <c r="R297" s="406"/>
      <c r="S297" s="406"/>
      <c r="T297" s="406"/>
      <c r="U297" s="406"/>
      <c r="V297" s="406"/>
      <c r="W297" s="406"/>
      <c r="X297" s="406"/>
      <c r="Y297" s="406"/>
      <c r="Z297" s="406"/>
      <c r="AA297" s="406"/>
      <c r="AB297" s="406"/>
      <c r="AC297" s="406"/>
      <c r="AD297" s="406"/>
      <c r="AE297" s="406"/>
      <c r="AF297" s="406"/>
      <c r="AG297" s="406"/>
      <c r="AH297" s="406"/>
      <c r="AI297" s="406"/>
      <c r="AJ297" s="406"/>
      <c r="AK297" s="406"/>
      <c r="AL297" s="406"/>
      <c r="AM297" s="406"/>
      <c r="AN297" s="406"/>
      <c r="AO297" s="406"/>
      <c r="AP297" s="406"/>
      <c r="AQ297" s="406"/>
    </row>
    <row r="298" spans="1:43" s="407" customFormat="1" ht="12.75" x14ac:dyDescent="0.2">
      <c r="A298" s="406"/>
      <c r="B298" s="14" t="str">
        <f>IF(Tabla1[[#This Row],[Código_Actividad]]="","",CONCATENATE(Tabla1[[#This Row],[POA]],".",Tabla1[[#This Row],[SRS]],".",Tabla1[[#This Row],[AREA]],".",Tabla1[[#This Row],[TIPO]]))</f>
        <v/>
      </c>
      <c r="C298" s="14"/>
      <c r="D298" s="14"/>
      <c r="E298" s="14"/>
      <c r="F298" s="14"/>
      <c r="G298" s="265"/>
      <c r="H298" s="266" t="s">
        <v>530</v>
      </c>
      <c r="I298" s="405" t="s">
        <v>526</v>
      </c>
      <c r="J298" s="265">
        <v>4</v>
      </c>
      <c r="K298" s="268">
        <v>30</v>
      </c>
      <c r="L298" s="268">
        <f>+Tabla1[[#This Row],[Precio Unitario]]*Tabla1[[#This Row],[Cantidad de Insumos]]</f>
        <v>120</v>
      </c>
      <c r="M298" s="269" t="s">
        <v>529</v>
      </c>
      <c r="N298" s="266" t="s">
        <v>66</v>
      </c>
      <c r="O298" s="406"/>
      <c r="P298" s="406"/>
      <c r="Q298" s="406"/>
      <c r="R298" s="406"/>
      <c r="S298" s="406"/>
      <c r="T298" s="406"/>
      <c r="U298" s="406"/>
      <c r="V298" s="406"/>
      <c r="W298" s="406"/>
      <c r="X298" s="406"/>
      <c r="Y298" s="406"/>
      <c r="Z298" s="406"/>
      <c r="AA298" s="406"/>
      <c r="AB298" s="406"/>
      <c r="AC298" s="406"/>
      <c r="AD298" s="406"/>
      <c r="AE298" s="406"/>
      <c r="AF298" s="406"/>
      <c r="AG298" s="406"/>
      <c r="AH298" s="406"/>
      <c r="AI298" s="406"/>
      <c r="AJ298" s="406"/>
      <c r="AK298" s="406"/>
      <c r="AL298" s="406"/>
      <c r="AM298" s="406"/>
      <c r="AN298" s="406"/>
      <c r="AO298" s="406"/>
      <c r="AP298" s="406"/>
      <c r="AQ298" s="406"/>
    </row>
    <row r="299" spans="1:43" s="407" customFormat="1" ht="12.75" x14ac:dyDescent="0.2">
      <c r="A299" s="406"/>
      <c r="B299" s="14" t="str">
        <f>IF(Tabla1[[#This Row],[Código_Actividad]]="","",CONCATENATE(Tabla1[[#This Row],[POA]],".",Tabla1[[#This Row],[SRS]],".",Tabla1[[#This Row],[AREA]],".",Tabla1[[#This Row],[TIPO]]))</f>
        <v/>
      </c>
      <c r="C299" s="14"/>
      <c r="D299" s="14"/>
      <c r="E299" s="14"/>
      <c r="F299" s="14"/>
      <c r="G299" s="265"/>
      <c r="H299" s="266" t="s">
        <v>531</v>
      </c>
      <c r="I299" s="405" t="s">
        <v>532</v>
      </c>
      <c r="J299" s="265">
        <v>1</v>
      </c>
      <c r="K299" s="268">
        <v>150</v>
      </c>
      <c r="L299" s="268">
        <f>+Tabla1[[#This Row],[Precio Unitario]]*Tabla1[[#This Row],[Cantidad de Insumos]]</f>
        <v>150</v>
      </c>
      <c r="M299" s="269" t="s">
        <v>533</v>
      </c>
      <c r="N299" s="266" t="s">
        <v>66</v>
      </c>
      <c r="O299" s="406"/>
      <c r="P299" s="406"/>
      <c r="Q299" s="406"/>
      <c r="R299" s="406"/>
      <c r="S299" s="406"/>
      <c r="T299" s="406"/>
      <c r="U299" s="406"/>
      <c r="V299" s="406"/>
      <c r="W299" s="406"/>
      <c r="X299" s="406"/>
      <c r="Y299" s="406"/>
      <c r="Z299" s="406"/>
      <c r="AA299" s="406"/>
      <c r="AB299" s="406"/>
      <c r="AC299" s="406"/>
      <c r="AD299" s="406"/>
      <c r="AE299" s="406"/>
      <c r="AF299" s="406"/>
      <c r="AG299" s="406"/>
      <c r="AH299" s="406"/>
      <c r="AI299" s="406"/>
      <c r="AJ299" s="406"/>
      <c r="AK299" s="406"/>
      <c r="AL299" s="406"/>
      <c r="AM299" s="406"/>
      <c r="AN299" s="406"/>
      <c r="AO299" s="406"/>
      <c r="AP299" s="406"/>
      <c r="AQ299" s="406"/>
    </row>
    <row r="300" spans="1:43" s="407" customFormat="1" ht="12.75" x14ac:dyDescent="0.2">
      <c r="A300" s="406"/>
      <c r="B300" s="14" t="str">
        <f>IF(Tabla1[[#This Row],[Código_Actividad]]="","",CONCATENATE(Tabla1[[#This Row],[POA]],".",Tabla1[[#This Row],[SRS]],".",Tabla1[[#This Row],[AREA]],".",Tabla1[[#This Row],[TIPO]]))</f>
        <v/>
      </c>
      <c r="C300" s="14" t="s">
        <v>523</v>
      </c>
      <c r="D300" s="14" t="s">
        <v>523</v>
      </c>
      <c r="E300" s="14" t="s">
        <v>523</v>
      </c>
      <c r="F300" s="14" t="s">
        <v>523</v>
      </c>
      <c r="G300" s="265"/>
      <c r="H300" s="266" t="s">
        <v>543</v>
      </c>
      <c r="I300" s="266" t="s">
        <v>540</v>
      </c>
      <c r="J300" s="265">
        <v>1</v>
      </c>
      <c r="K300" s="268">
        <v>600</v>
      </c>
      <c r="L300" s="268">
        <f>+Tabla1[[#This Row],[Precio Unitario]]*Tabla1[[#This Row],[Cantidad de Insumos]]</f>
        <v>600</v>
      </c>
      <c r="M300" s="269" t="s">
        <v>529</v>
      </c>
      <c r="N300" s="266" t="s">
        <v>66</v>
      </c>
      <c r="O300" s="406"/>
      <c r="P300" s="406"/>
      <c r="Q300" s="406"/>
      <c r="R300" s="406"/>
      <c r="S300" s="406"/>
      <c r="T300" s="406"/>
      <c r="U300" s="406"/>
      <c r="V300" s="406"/>
      <c r="W300" s="406"/>
      <c r="X300" s="406"/>
      <c r="Y300" s="406"/>
      <c r="Z300" s="406"/>
      <c r="AA300" s="406"/>
      <c r="AB300" s="406"/>
      <c r="AC300" s="406"/>
      <c r="AD300" s="406"/>
      <c r="AE300" s="406"/>
      <c r="AF300" s="406"/>
      <c r="AG300" s="406"/>
      <c r="AH300" s="406"/>
      <c r="AI300" s="406"/>
      <c r="AJ300" s="406"/>
      <c r="AK300" s="406"/>
      <c r="AL300" s="406"/>
      <c r="AM300" s="406"/>
      <c r="AN300" s="406"/>
      <c r="AO300" s="406"/>
      <c r="AP300" s="406"/>
      <c r="AQ300" s="406"/>
    </row>
    <row r="301" spans="1:43" s="407" customFormat="1" ht="12.75" x14ac:dyDescent="0.2">
      <c r="A301" s="406"/>
      <c r="B301" s="14" t="str">
        <f>IF(Tabla1[[#This Row],[Código_Actividad]]="","",CONCATENATE(Tabla1[[#This Row],[POA]],".",Tabla1[[#This Row],[SRS]],".",Tabla1[[#This Row],[AREA]],".",Tabla1[[#This Row],[TIPO]]))</f>
        <v/>
      </c>
      <c r="C301" s="14" t="s">
        <v>523</v>
      </c>
      <c r="D301" s="14" t="s">
        <v>523</v>
      </c>
      <c r="E301" s="14" t="s">
        <v>523</v>
      </c>
      <c r="F301" s="14" t="s">
        <v>523</v>
      </c>
      <c r="G301" s="265"/>
      <c r="H301" s="266" t="s">
        <v>544</v>
      </c>
      <c r="I301" s="266" t="s">
        <v>540</v>
      </c>
      <c r="J301" s="265">
        <v>1</v>
      </c>
      <c r="K301" s="268">
        <v>1200</v>
      </c>
      <c r="L301" s="268">
        <f>+Tabla1[[#This Row],[Precio Unitario]]*Tabla1[[#This Row],[Cantidad de Insumos]]</f>
        <v>1200</v>
      </c>
      <c r="M301" s="269" t="s">
        <v>545</v>
      </c>
      <c r="N301" s="266" t="s">
        <v>66</v>
      </c>
      <c r="O301" s="406"/>
      <c r="P301" s="406"/>
      <c r="Q301" s="406"/>
      <c r="R301" s="406"/>
      <c r="S301" s="406"/>
      <c r="T301" s="406"/>
      <c r="U301" s="406"/>
      <c r="V301" s="406"/>
      <c r="W301" s="406"/>
      <c r="X301" s="406"/>
      <c r="Y301" s="406"/>
      <c r="Z301" s="406"/>
      <c r="AA301" s="406"/>
      <c r="AB301" s="406"/>
      <c r="AC301" s="406"/>
      <c r="AD301" s="406"/>
      <c r="AE301" s="406"/>
      <c r="AF301" s="406"/>
      <c r="AG301" s="406"/>
      <c r="AH301" s="406"/>
      <c r="AI301" s="406"/>
      <c r="AJ301" s="406"/>
      <c r="AK301" s="406"/>
      <c r="AL301" s="406"/>
      <c r="AM301" s="406"/>
      <c r="AN301" s="406"/>
      <c r="AO301" s="406"/>
      <c r="AP301" s="406"/>
      <c r="AQ301" s="406"/>
    </row>
    <row r="302" spans="1:43" s="407" customFormat="1" ht="12.75" x14ac:dyDescent="0.2">
      <c r="A302" s="406"/>
      <c r="B302" s="14" t="str">
        <f>IF(Tabla1[[#This Row],[Código_Actividad]]="","",CONCATENATE(Tabla1[[#This Row],[POA]],".",Tabla1[[#This Row],[SRS]],".",Tabla1[[#This Row],[AREA]],".",Tabla1[[#This Row],[TIPO]]))</f>
        <v/>
      </c>
      <c r="C302" s="14" t="s">
        <v>523</v>
      </c>
      <c r="D302" s="14" t="s">
        <v>523</v>
      </c>
      <c r="E302" s="14" t="s">
        <v>523</v>
      </c>
      <c r="F302" s="14" t="s">
        <v>523</v>
      </c>
      <c r="G302" s="265"/>
      <c r="H302" s="266" t="s">
        <v>546</v>
      </c>
      <c r="I302" s="266" t="s">
        <v>526</v>
      </c>
      <c r="J302" s="265">
        <v>1</v>
      </c>
      <c r="K302" s="268">
        <v>100</v>
      </c>
      <c r="L302" s="268">
        <f>+Tabla1[[#This Row],[Precio Unitario]]*Tabla1[[#This Row],[Cantidad de Insumos]]</f>
        <v>100</v>
      </c>
      <c r="M302" s="269" t="s">
        <v>529</v>
      </c>
      <c r="N302" s="266" t="s">
        <v>508</v>
      </c>
      <c r="O302" s="406"/>
      <c r="P302" s="406"/>
      <c r="Q302" s="406"/>
      <c r="R302" s="406"/>
      <c r="S302" s="406"/>
      <c r="T302" s="406"/>
      <c r="U302" s="406"/>
      <c r="V302" s="406"/>
      <c r="W302" s="406"/>
      <c r="X302" s="406"/>
      <c r="Y302" s="406"/>
      <c r="Z302" s="406"/>
      <c r="AA302" s="406"/>
      <c r="AB302" s="406"/>
      <c r="AC302" s="406"/>
      <c r="AD302" s="406"/>
      <c r="AE302" s="406"/>
      <c r="AF302" s="406"/>
      <c r="AG302" s="406"/>
      <c r="AH302" s="406"/>
      <c r="AI302" s="406"/>
      <c r="AJ302" s="406"/>
      <c r="AK302" s="406"/>
      <c r="AL302" s="406"/>
      <c r="AM302" s="406"/>
      <c r="AN302" s="406"/>
      <c r="AO302" s="406"/>
      <c r="AP302" s="406"/>
      <c r="AQ302" s="406"/>
    </row>
    <row r="303" spans="1:43" ht="12.75" x14ac:dyDescent="0.2">
      <c r="B303" s="14" t="str">
        <f>IF(Tabla1[[#This Row],[Código_Actividad]]="","",CONCATENATE(Tabla1[[#This Row],[POA]],".",Tabla1[[#This Row],[SRS]],".",Tabla1[[#This Row],[AREA]],".",Tabla1[[#This Row],[TIPO]]))</f>
        <v/>
      </c>
      <c r="C303" s="14" t="s">
        <v>523</v>
      </c>
      <c r="D303" s="14" t="s">
        <v>523</v>
      </c>
      <c r="E303" s="14" t="s">
        <v>523</v>
      </c>
      <c r="F303" s="14" t="s">
        <v>523</v>
      </c>
      <c r="G303" s="265"/>
      <c r="H303" s="266"/>
      <c r="I303" s="266"/>
      <c r="J303" s="265"/>
      <c r="K303" s="267"/>
      <c r="L303" s="268">
        <f>+Tabla1[[#This Row],[Precio Unitario]]*Tabla1[[#This Row],[Cantidad de Insumos]]</f>
        <v>0</v>
      </c>
      <c r="M303" s="269"/>
      <c r="N303" s="266"/>
    </row>
    <row r="304" spans="1:43" ht="12.75" x14ac:dyDescent="0.2">
      <c r="B304" s="14" t="str">
        <f>IF(Tabla1[[#This Row],[Código_Actividad]]="","",CONCATENATE(Tabla1[[#This Row],[POA]],".",Tabla1[[#This Row],[SRS]],".",Tabla1[[#This Row],[AREA]],".",Tabla1[[#This Row],[TIPO]]))</f>
        <v/>
      </c>
      <c r="C304" s="14" t="s">
        <v>523</v>
      </c>
      <c r="D304" s="14" t="s">
        <v>523</v>
      </c>
      <c r="E304" s="14" t="s">
        <v>523</v>
      </c>
      <c r="F304" s="14" t="s">
        <v>523</v>
      </c>
      <c r="G304" s="265"/>
      <c r="H304" s="266"/>
      <c r="I304" s="266"/>
      <c r="J304" s="265"/>
      <c r="K304" s="267"/>
      <c r="L304" s="268">
        <f>+Tabla1[[#This Row],[Precio Unitario]]*Tabla1[[#This Row],[Cantidad de Insumos]]</f>
        <v>0</v>
      </c>
      <c r="M304" s="269"/>
      <c r="N304" s="266"/>
    </row>
    <row r="305" spans="2:14" ht="12.75" x14ac:dyDescent="0.2">
      <c r="B305" s="14" t="str">
        <f>IF(Tabla1[[#This Row],[Código_Actividad]]="","",CONCATENATE(Tabla1[[#This Row],[POA]],".",Tabla1[[#This Row],[SRS]],".",Tabla1[[#This Row],[AREA]],".",Tabla1[[#This Row],[TIPO]]))</f>
        <v/>
      </c>
      <c r="C305" s="14" t="s">
        <v>523</v>
      </c>
      <c r="D305" s="14" t="s">
        <v>523</v>
      </c>
      <c r="E305" s="14" t="s">
        <v>523</v>
      </c>
      <c r="F305" s="14" t="s">
        <v>523</v>
      </c>
      <c r="G305" s="265"/>
      <c r="H305" s="266"/>
      <c r="I305" s="266"/>
      <c r="J305" s="265"/>
      <c r="K305" s="267"/>
      <c r="L305" s="268">
        <f>+Tabla1[[#This Row],[Precio Unitario]]*Tabla1[[#This Row],[Cantidad de Insumos]]</f>
        <v>0</v>
      </c>
      <c r="M305" s="269"/>
      <c r="N305" s="266"/>
    </row>
    <row r="306" spans="2:14" ht="12.75" x14ac:dyDescent="0.2">
      <c r="B306" s="14" t="str">
        <f>IF(Tabla1[[#This Row],[Código_Actividad]]="","",CONCATENATE(Tabla1[[#This Row],[POA]],".",Tabla1[[#This Row],[SRS]],".",Tabla1[[#This Row],[AREA]],".",Tabla1[[#This Row],[TIPO]]))</f>
        <v/>
      </c>
      <c r="C306" s="14" t="s">
        <v>523</v>
      </c>
      <c r="D306" s="14" t="s">
        <v>523</v>
      </c>
      <c r="E306" s="14" t="s">
        <v>523</v>
      </c>
      <c r="F306" s="14" t="s">
        <v>523</v>
      </c>
      <c r="G306" s="265"/>
      <c r="H306" s="266"/>
      <c r="I306" s="266"/>
      <c r="J306" s="265"/>
      <c r="K306" s="267"/>
      <c r="L306" s="268">
        <f>+Tabla1[[#This Row],[Precio Unitario]]*Tabla1[[#This Row],[Cantidad de Insumos]]</f>
        <v>0</v>
      </c>
      <c r="M306" s="269"/>
      <c r="N306" s="266"/>
    </row>
    <row r="307" spans="2:14" ht="12.75" x14ac:dyDescent="0.2">
      <c r="B307" s="14" t="str">
        <f>IF(Tabla1[[#This Row],[Código_Actividad]]="","",CONCATENATE(Tabla1[[#This Row],[POA]],".",Tabla1[[#This Row],[SRS]],".",Tabla1[[#This Row],[AREA]],".",Tabla1[[#This Row],[TIPO]]))</f>
        <v/>
      </c>
      <c r="C307" s="14" t="s">
        <v>523</v>
      </c>
      <c r="D307" s="14" t="s">
        <v>523</v>
      </c>
      <c r="E307" s="14" t="s">
        <v>523</v>
      </c>
      <c r="F307" s="14" t="s">
        <v>523</v>
      </c>
      <c r="G307" s="265"/>
      <c r="H307" s="266"/>
      <c r="I307" s="266"/>
      <c r="J307" s="265"/>
      <c r="K307" s="267"/>
      <c r="L307" s="268">
        <f>+Tabla1[[#This Row],[Precio Unitario]]*Tabla1[[#This Row],[Cantidad de Insumos]]</f>
        <v>0</v>
      </c>
      <c r="M307" s="269"/>
      <c r="N307" s="266"/>
    </row>
    <row r="308" spans="2:14" ht="12.75" x14ac:dyDescent="0.2">
      <c r="B308" s="14" t="str">
        <f>IF(Tabla1[[#This Row],[Código_Actividad]]="","",CONCATENATE(Tabla1[[#This Row],[POA]],".",Tabla1[[#This Row],[SRS]],".",Tabla1[[#This Row],[AREA]],".",Tabla1[[#This Row],[TIPO]]))</f>
        <v/>
      </c>
      <c r="C308" s="14" t="s">
        <v>523</v>
      </c>
      <c r="D308" s="14" t="s">
        <v>523</v>
      </c>
      <c r="E308" s="14" t="s">
        <v>523</v>
      </c>
      <c r="F308" s="14" t="s">
        <v>523</v>
      </c>
      <c r="G308" s="265"/>
      <c r="H308" s="266"/>
      <c r="I308" s="266"/>
      <c r="J308" s="265"/>
      <c r="K308" s="267"/>
      <c r="L308" s="268">
        <f>+Tabla1[[#This Row],[Precio Unitario]]*Tabla1[[#This Row],[Cantidad de Insumos]]</f>
        <v>0</v>
      </c>
      <c r="M308" s="269"/>
      <c r="N308" s="266"/>
    </row>
    <row r="309" spans="2:14" ht="12.75" x14ac:dyDescent="0.2">
      <c r="B309" s="14" t="str">
        <f>IF(Tabla1[[#This Row],[Código_Actividad]]="","",CONCATENATE(Tabla1[[#This Row],[POA]],".",Tabla1[[#This Row],[SRS]],".",Tabla1[[#This Row],[AREA]],".",Tabla1[[#This Row],[TIPO]]))</f>
        <v/>
      </c>
      <c r="C309" s="14" t="s">
        <v>523</v>
      </c>
      <c r="D309" s="14" t="s">
        <v>523</v>
      </c>
      <c r="E309" s="14" t="s">
        <v>523</v>
      </c>
      <c r="F309" s="14" t="s">
        <v>523</v>
      </c>
      <c r="G309" s="265"/>
      <c r="H309" s="266"/>
      <c r="I309" s="266"/>
      <c r="J309" s="265"/>
      <c r="K309" s="267"/>
      <c r="L309" s="268">
        <f>+Tabla1[[#This Row],[Precio Unitario]]*Tabla1[[#This Row],[Cantidad de Insumos]]</f>
        <v>0</v>
      </c>
      <c r="M309" s="269"/>
      <c r="N309" s="266"/>
    </row>
    <row r="310" spans="2:14" ht="12.75" x14ac:dyDescent="0.2">
      <c r="B310" s="14" t="str">
        <f>IF(Tabla1[[#This Row],[Código_Actividad]]="","",CONCATENATE(Tabla1[[#This Row],[POA]],".",Tabla1[[#This Row],[SRS]],".",Tabla1[[#This Row],[AREA]],".",Tabla1[[#This Row],[TIPO]]))</f>
        <v/>
      </c>
      <c r="C310" s="14" t="s">
        <v>523</v>
      </c>
      <c r="D310" s="14" t="s">
        <v>523</v>
      </c>
      <c r="E310" s="14" t="s">
        <v>523</v>
      </c>
      <c r="F310" s="14" t="s">
        <v>523</v>
      </c>
      <c r="G310" s="265"/>
      <c r="H310" s="266"/>
      <c r="I310" s="266"/>
      <c r="J310" s="265"/>
      <c r="K310" s="267"/>
      <c r="L310" s="268">
        <f>+Tabla1[[#This Row],[Precio Unitario]]*Tabla1[[#This Row],[Cantidad de Insumos]]</f>
        <v>0</v>
      </c>
      <c r="M310" s="269"/>
      <c r="N310" s="266"/>
    </row>
    <row r="311" spans="2:14" ht="12.75" x14ac:dyDescent="0.2">
      <c r="B311" s="14" t="str">
        <f>IF(Tabla1[[#This Row],[Código_Actividad]]="","",CONCATENATE(Tabla1[[#This Row],[POA]],".",Tabla1[[#This Row],[SRS]],".",Tabla1[[#This Row],[AREA]],".",Tabla1[[#This Row],[TIPO]]))</f>
        <v/>
      </c>
      <c r="C311" s="14" t="s">
        <v>523</v>
      </c>
      <c r="D311" s="14" t="s">
        <v>523</v>
      </c>
      <c r="E311" s="14" t="s">
        <v>523</v>
      </c>
      <c r="F311" s="14" t="s">
        <v>523</v>
      </c>
      <c r="G311" s="265"/>
      <c r="H311" s="266"/>
      <c r="I311" s="266"/>
      <c r="J311" s="265"/>
      <c r="K311" s="267"/>
      <c r="L311" s="268">
        <f>+Tabla1[[#This Row],[Precio Unitario]]*Tabla1[[#This Row],[Cantidad de Insumos]]</f>
        <v>0</v>
      </c>
      <c r="M311" s="269"/>
      <c r="N311" s="266"/>
    </row>
    <row r="312" spans="2:14" ht="12.75" x14ac:dyDescent="0.2">
      <c r="B312" s="14" t="str">
        <f>IF(Tabla1[[#This Row],[Código_Actividad]]="","",CONCATENATE(Tabla1[[#This Row],[POA]],".",Tabla1[[#This Row],[SRS]],".",Tabla1[[#This Row],[AREA]],".",Tabla1[[#This Row],[TIPO]]))</f>
        <v/>
      </c>
      <c r="C312" s="14" t="s">
        <v>523</v>
      </c>
      <c r="D312" s="14" t="s">
        <v>523</v>
      </c>
      <c r="E312" s="14" t="s">
        <v>523</v>
      </c>
      <c r="F312" s="14" t="s">
        <v>523</v>
      </c>
      <c r="G312" s="265"/>
      <c r="H312" s="266"/>
      <c r="I312" s="266"/>
      <c r="J312" s="265"/>
      <c r="K312" s="267"/>
      <c r="L312" s="268">
        <f>+Tabla1[[#This Row],[Precio Unitario]]*Tabla1[[#This Row],[Cantidad de Insumos]]</f>
        <v>0</v>
      </c>
      <c r="M312" s="269"/>
      <c r="N312" s="266"/>
    </row>
    <row r="313" spans="2:14" ht="12.75" x14ac:dyDescent="0.2">
      <c r="B313" s="14" t="str">
        <f>IF(Tabla1[[#This Row],[Código_Actividad]]="","",CONCATENATE(Tabla1[[#This Row],[POA]],".",Tabla1[[#This Row],[SRS]],".",Tabla1[[#This Row],[AREA]],".",Tabla1[[#This Row],[TIPO]]))</f>
        <v/>
      </c>
      <c r="C313" s="14" t="s">
        <v>523</v>
      </c>
      <c r="D313" s="14" t="s">
        <v>523</v>
      </c>
      <c r="E313" s="14" t="s">
        <v>523</v>
      </c>
      <c r="F313" s="14" t="s">
        <v>523</v>
      </c>
      <c r="G313" s="265"/>
      <c r="H313" s="266"/>
      <c r="I313" s="266"/>
      <c r="J313" s="265"/>
      <c r="K313" s="267"/>
      <c r="L313" s="268">
        <f>+Tabla1[[#This Row],[Precio Unitario]]*Tabla1[[#This Row],[Cantidad de Insumos]]</f>
        <v>0</v>
      </c>
      <c r="M313" s="269"/>
      <c r="N313" s="266"/>
    </row>
    <row r="314" spans="2:14" ht="12.75" x14ac:dyDescent="0.2">
      <c r="B314" s="14" t="str">
        <f>IF(Tabla1[[#This Row],[Código_Actividad]]="","",CONCATENATE(Tabla1[[#This Row],[POA]],".",Tabla1[[#This Row],[SRS]],".",Tabla1[[#This Row],[AREA]],".",Tabla1[[#This Row],[TIPO]]))</f>
        <v/>
      </c>
      <c r="C314" s="14" t="s">
        <v>523</v>
      </c>
      <c r="D314" s="14" t="s">
        <v>523</v>
      </c>
      <c r="E314" s="14" t="s">
        <v>523</v>
      </c>
      <c r="F314" s="14" t="s">
        <v>523</v>
      </c>
      <c r="G314" s="265"/>
      <c r="H314" s="266"/>
      <c r="I314" s="266"/>
      <c r="J314" s="265"/>
      <c r="K314" s="267"/>
      <c r="L314" s="268">
        <f>+Tabla1[[#This Row],[Precio Unitario]]*Tabla1[[#This Row],[Cantidad de Insumos]]</f>
        <v>0</v>
      </c>
      <c r="M314" s="269"/>
      <c r="N314" s="266"/>
    </row>
    <row r="315" spans="2:14" ht="12.75" x14ac:dyDescent="0.2">
      <c r="B315" s="14" t="str">
        <f>IF(Tabla1[[#This Row],[Código_Actividad]]="","",CONCATENATE(Tabla1[[#This Row],[POA]],".",Tabla1[[#This Row],[SRS]],".",Tabla1[[#This Row],[AREA]],".",Tabla1[[#This Row],[TIPO]]))</f>
        <v/>
      </c>
      <c r="C315" s="14" t="s">
        <v>523</v>
      </c>
      <c r="D315" s="14" t="s">
        <v>523</v>
      </c>
      <c r="E315" s="14" t="s">
        <v>523</v>
      </c>
      <c r="F315" s="14" t="s">
        <v>523</v>
      </c>
      <c r="G315" s="265"/>
      <c r="H315" s="266"/>
      <c r="I315" s="266"/>
      <c r="J315" s="265"/>
      <c r="K315" s="267"/>
      <c r="L315" s="268">
        <f>+Tabla1[[#This Row],[Precio Unitario]]*Tabla1[[#This Row],[Cantidad de Insumos]]</f>
        <v>0</v>
      </c>
      <c r="M315" s="269"/>
      <c r="N315" s="266"/>
    </row>
    <row r="316" spans="2:14" ht="12.75" x14ac:dyDescent="0.2">
      <c r="B316" s="14" t="str">
        <f>IF(Tabla1[[#This Row],[Código_Actividad]]="","",CONCATENATE(Tabla1[[#This Row],[POA]],".",Tabla1[[#This Row],[SRS]],".",Tabla1[[#This Row],[AREA]],".",Tabla1[[#This Row],[TIPO]]))</f>
        <v/>
      </c>
      <c r="C316" s="14" t="s">
        <v>523</v>
      </c>
      <c r="D316" s="14" t="s">
        <v>523</v>
      </c>
      <c r="E316" s="14" t="s">
        <v>523</v>
      </c>
      <c r="F316" s="14" t="s">
        <v>523</v>
      </c>
      <c r="G316" s="265"/>
      <c r="H316" s="266"/>
      <c r="I316" s="266"/>
      <c r="J316" s="265"/>
      <c r="K316" s="267"/>
      <c r="L316" s="268">
        <f>+Tabla1[[#This Row],[Precio Unitario]]*Tabla1[[#This Row],[Cantidad de Insumos]]</f>
        <v>0</v>
      </c>
      <c r="M316" s="269"/>
      <c r="N316" s="266"/>
    </row>
    <row r="317" spans="2:14" ht="12.75" x14ac:dyDescent="0.2">
      <c r="B317" s="14" t="str">
        <f>IF(Tabla1[[#This Row],[Código_Actividad]]="","",CONCATENATE(Tabla1[[#This Row],[POA]],".",Tabla1[[#This Row],[SRS]],".",Tabla1[[#This Row],[AREA]],".",Tabla1[[#This Row],[TIPO]]))</f>
        <v/>
      </c>
      <c r="C317" s="14" t="s">
        <v>523</v>
      </c>
      <c r="D317" s="14" t="s">
        <v>523</v>
      </c>
      <c r="E317" s="14" t="s">
        <v>523</v>
      </c>
      <c r="F317" s="14" t="s">
        <v>523</v>
      </c>
      <c r="G317" s="265"/>
      <c r="H317" s="266"/>
      <c r="I317" s="266"/>
      <c r="J317" s="265"/>
      <c r="K317" s="267"/>
      <c r="L317" s="268">
        <f>+Tabla1[[#This Row],[Precio Unitario]]*Tabla1[[#This Row],[Cantidad de Insumos]]</f>
        <v>0</v>
      </c>
      <c r="M317" s="269"/>
      <c r="N317" s="266"/>
    </row>
    <row r="318" spans="2:14" ht="12.75" x14ac:dyDescent="0.2">
      <c r="B318" s="14" t="str">
        <f>IF(Tabla1[[#This Row],[Código_Actividad]]="","",CONCATENATE(Tabla1[[#This Row],[POA]],".",Tabla1[[#This Row],[SRS]],".",Tabla1[[#This Row],[AREA]],".",Tabla1[[#This Row],[TIPO]]))</f>
        <v/>
      </c>
      <c r="C318" s="14" t="s">
        <v>523</v>
      </c>
      <c r="D318" s="14" t="s">
        <v>523</v>
      </c>
      <c r="E318" s="14" t="s">
        <v>523</v>
      </c>
      <c r="F318" s="14" t="s">
        <v>523</v>
      </c>
      <c r="G318" s="265"/>
      <c r="H318" s="266"/>
      <c r="I318" s="266"/>
      <c r="J318" s="265"/>
      <c r="K318" s="267"/>
      <c r="L318" s="268">
        <f>+Tabla1[[#This Row],[Precio Unitario]]*Tabla1[[#This Row],[Cantidad de Insumos]]</f>
        <v>0</v>
      </c>
      <c r="M318" s="269"/>
      <c r="N318" s="266"/>
    </row>
    <row r="319" spans="2:14" ht="12.75" x14ac:dyDescent="0.2">
      <c r="B319" s="14" t="str">
        <f>IF(Tabla1[[#This Row],[Código_Actividad]]="","",CONCATENATE(Tabla1[[#This Row],[POA]],".",Tabla1[[#This Row],[SRS]],".",Tabla1[[#This Row],[AREA]],".",Tabla1[[#This Row],[TIPO]]))</f>
        <v/>
      </c>
      <c r="C319" s="14" t="s">
        <v>523</v>
      </c>
      <c r="D319" s="14" t="s">
        <v>523</v>
      </c>
      <c r="E319" s="14" t="s">
        <v>523</v>
      </c>
      <c r="F319" s="14" t="s">
        <v>523</v>
      </c>
      <c r="G319" s="265"/>
      <c r="H319" s="266"/>
      <c r="I319" s="266"/>
      <c r="J319" s="265"/>
      <c r="K319" s="267"/>
      <c r="L319" s="268">
        <f>+Tabla1[[#This Row],[Precio Unitario]]*Tabla1[[#This Row],[Cantidad de Insumos]]</f>
        <v>0</v>
      </c>
      <c r="M319" s="269"/>
      <c r="N319" s="266"/>
    </row>
    <row r="320" spans="2:14" ht="12.75" x14ac:dyDescent="0.2">
      <c r="B320" s="14" t="str">
        <f>IF(Tabla1[[#This Row],[Código_Actividad]]="","",CONCATENATE(Tabla1[[#This Row],[POA]],".",Tabla1[[#This Row],[SRS]],".",Tabla1[[#This Row],[AREA]],".",Tabla1[[#This Row],[TIPO]]))</f>
        <v/>
      </c>
      <c r="C320" s="14" t="s">
        <v>523</v>
      </c>
      <c r="D320" s="14" t="s">
        <v>523</v>
      </c>
      <c r="E320" s="14" t="s">
        <v>523</v>
      </c>
      <c r="F320" s="14" t="s">
        <v>523</v>
      </c>
      <c r="G320" s="265"/>
      <c r="H320" s="266"/>
      <c r="I320" s="266"/>
      <c r="J320" s="265"/>
      <c r="K320" s="267"/>
      <c r="L320" s="268">
        <f>+Tabla1[[#This Row],[Precio Unitario]]*Tabla1[[#This Row],[Cantidad de Insumos]]</f>
        <v>0</v>
      </c>
      <c r="M320" s="269"/>
      <c r="N320" s="266"/>
    </row>
    <row r="321" spans="2:14" ht="12.75" x14ac:dyDescent="0.2">
      <c r="B321" s="14" t="str">
        <f>IF(Tabla1[[#This Row],[Código_Actividad]]="","",CONCATENATE(Tabla1[[#This Row],[POA]],".",Tabla1[[#This Row],[SRS]],".",Tabla1[[#This Row],[AREA]],".",Tabla1[[#This Row],[TIPO]]))</f>
        <v/>
      </c>
      <c r="C321" s="14" t="s">
        <v>523</v>
      </c>
      <c r="D321" s="14" t="s">
        <v>523</v>
      </c>
      <c r="E321" s="14" t="s">
        <v>523</v>
      </c>
      <c r="F321" s="14" t="s">
        <v>523</v>
      </c>
      <c r="G321" s="265"/>
      <c r="H321" s="266"/>
      <c r="I321" s="266"/>
      <c r="J321" s="265"/>
      <c r="K321" s="267"/>
      <c r="L321" s="268">
        <f>+Tabla1[[#This Row],[Precio Unitario]]*Tabla1[[#This Row],[Cantidad de Insumos]]</f>
        <v>0</v>
      </c>
      <c r="M321" s="269"/>
      <c r="N321" s="266"/>
    </row>
    <row r="322" spans="2:14" ht="12.75" x14ac:dyDescent="0.2">
      <c r="B322" s="14" t="str">
        <f>IF(Tabla1[[#This Row],[Código_Actividad]]="","",CONCATENATE(Tabla1[[#This Row],[POA]],".",Tabla1[[#This Row],[SRS]],".",Tabla1[[#This Row],[AREA]],".",Tabla1[[#This Row],[TIPO]]))</f>
        <v/>
      </c>
      <c r="C322" s="14" t="s">
        <v>523</v>
      </c>
      <c r="D322" s="14" t="s">
        <v>523</v>
      </c>
      <c r="E322" s="14" t="s">
        <v>523</v>
      </c>
      <c r="F322" s="14" t="s">
        <v>523</v>
      </c>
      <c r="G322" s="265"/>
      <c r="H322" s="266"/>
      <c r="I322" s="266"/>
      <c r="J322" s="265"/>
      <c r="K322" s="267"/>
      <c r="L322" s="268">
        <f>+Tabla1[[#This Row],[Precio Unitario]]*Tabla1[[#This Row],[Cantidad de Insumos]]</f>
        <v>0</v>
      </c>
      <c r="M322" s="269"/>
      <c r="N322" s="266"/>
    </row>
    <row r="323" spans="2:14" ht="12.75" x14ac:dyDescent="0.2">
      <c r="B323" s="14" t="str">
        <f>IF(Tabla1[[#This Row],[Código_Actividad]]="","",CONCATENATE(Tabla1[[#This Row],[POA]],".",Tabla1[[#This Row],[SRS]],".",Tabla1[[#This Row],[AREA]],".",Tabla1[[#This Row],[TIPO]]))</f>
        <v/>
      </c>
      <c r="C323" s="14" t="s">
        <v>523</v>
      </c>
      <c r="D323" s="14" t="s">
        <v>523</v>
      </c>
      <c r="E323" s="14" t="s">
        <v>523</v>
      </c>
      <c r="F323" s="14" t="s">
        <v>523</v>
      </c>
      <c r="G323" s="265"/>
      <c r="H323" s="266"/>
      <c r="I323" s="266"/>
      <c r="J323" s="265"/>
      <c r="K323" s="267"/>
      <c r="L323" s="268">
        <f>+Tabla1[[#This Row],[Precio Unitario]]*Tabla1[[#This Row],[Cantidad de Insumos]]</f>
        <v>0</v>
      </c>
      <c r="M323" s="269"/>
      <c r="N323" s="266"/>
    </row>
    <row r="324" spans="2:14" ht="12.75" x14ac:dyDescent="0.2">
      <c r="B324" s="14" t="str">
        <f>IF(Tabla1[[#This Row],[Código_Actividad]]="","",CONCATENATE(Tabla1[[#This Row],[POA]],".",Tabla1[[#This Row],[SRS]],".",Tabla1[[#This Row],[AREA]],".",Tabla1[[#This Row],[TIPO]]))</f>
        <v/>
      </c>
      <c r="C324" s="14" t="s">
        <v>523</v>
      </c>
      <c r="D324" s="14" t="s">
        <v>523</v>
      </c>
      <c r="E324" s="14" t="s">
        <v>523</v>
      </c>
      <c r="F324" s="14" t="s">
        <v>523</v>
      </c>
      <c r="G324" s="265"/>
      <c r="H324" s="266"/>
      <c r="I324" s="266"/>
      <c r="J324" s="265"/>
      <c r="K324" s="267"/>
      <c r="L324" s="268">
        <f>+Tabla1[[#This Row],[Precio Unitario]]*Tabla1[[#This Row],[Cantidad de Insumos]]</f>
        <v>0</v>
      </c>
      <c r="M324" s="269"/>
      <c r="N324" s="266"/>
    </row>
    <row r="325" spans="2:14" ht="12.75" x14ac:dyDescent="0.2">
      <c r="B325" s="14" t="str">
        <f>IF(Tabla1[[#This Row],[Código_Actividad]]="","",CONCATENATE(Tabla1[[#This Row],[POA]],".",Tabla1[[#This Row],[SRS]],".",Tabla1[[#This Row],[AREA]],".",Tabla1[[#This Row],[TIPO]]))</f>
        <v/>
      </c>
      <c r="C325" s="14" t="s">
        <v>523</v>
      </c>
      <c r="D325" s="14" t="s">
        <v>523</v>
      </c>
      <c r="E325" s="14" t="s">
        <v>523</v>
      </c>
      <c r="F325" s="14" t="s">
        <v>523</v>
      </c>
      <c r="G325" s="265"/>
      <c r="H325" s="266"/>
      <c r="I325" s="266"/>
      <c r="J325" s="265"/>
      <c r="K325" s="267"/>
      <c r="L325" s="268">
        <f>+Tabla1[[#This Row],[Precio Unitario]]*Tabla1[[#This Row],[Cantidad de Insumos]]</f>
        <v>0</v>
      </c>
      <c r="M325" s="269"/>
      <c r="N325" s="266"/>
    </row>
    <row r="326" spans="2:14" ht="12.75" x14ac:dyDescent="0.2">
      <c r="B326" s="14" t="str">
        <f>IF(Tabla1[[#This Row],[Código_Actividad]]="","",CONCATENATE(Tabla1[[#This Row],[POA]],".",Tabla1[[#This Row],[SRS]],".",Tabla1[[#This Row],[AREA]],".",Tabla1[[#This Row],[TIPO]]))</f>
        <v/>
      </c>
      <c r="C326" s="14" t="s">
        <v>523</v>
      </c>
      <c r="D326" s="14" t="s">
        <v>523</v>
      </c>
      <c r="E326" s="14" t="s">
        <v>523</v>
      </c>
      <c r="F326" s="14" t="s">
        <v>523</v>
      </c>
      <c r="G326" s="265"/>
      <c r="H326" s="266"/>
      <c r="I326" s="266"/>
      <c r="J326" s="265"/>
      <c r="K326" s="267"/>
      <c r="L326" s="268">
        <f>+Tabla1[[#This Row],[Precio Unitario]]*Tabla1[[#This Row],[Cantidad de Insumos]]</f>
        <v>0</v>
      </c>
      <c r="M326" s="269"/>
      <c r="N326" s="266"/>
    </row>
    <row r="327" spans="2:14" ht="12.75" x14ac:dyDescent="0.2">
      <c r="B327" s="14" t="str">
        <f>IF(Tabla1[[#This Row],[Código_Actividad]]="","",CONCATENATE(Tabla1[[#This Row],[POA]],".",Tabla1[[#This Row],[SRS]],".",Tabla1[[#This Row],[AREA]],".",Tabla1[[#This Row],[TIPO]]))</f>
        <v/>
      </c>
      <c r="C327" s="14" t="s">
        <v>523</v>
      </c>
      <c r="D327" s="14" t="s">
        <v>523</v>
      </c>
      <c r="E327" s="14" t="s">
        <v>523</v>
      </c>
      <c r="F327" s="14" t="s">
        <v>523</v>
      </c>
      <c r="G327" s="265"/>
      <c r="H327" s="266"/>
      <c r="I327" s="266"/>
      <c r="J327" s="265"/>
      <c r="K327" s="267"/>
      <c r="L327" s="268">
        <f>+Tabla1[[#This Row],[Precio Unitario]]*Tabla1[[#This Row],[Cantidad de Insumos]]</f>
        <v>0</v>
      </c>
      <c r="M327" s="269"/>
      <c r="N327" s="266"/>
    </row>
    <row r="328" spans="2:14" ht="12.75" x14ac:dyDescent="0.2">
      <c r="B328" s="14" t="str">
        <f>IF(Tabla1[[#This Row],[Código_Actividad]]="","",CONCATENATE(Tabla1[[#This Row],[POA]],".",Tabla1[[#This Row],[SRS]],".",Tabla1[[#This Row],[AREA]],".",Tabla1[[#This Row],[TIPO]]))</f>
        <v/>
      </c>
      <c r="C328" s="14" t="s">
        <v>523</v>
      </c>
      <c r="D328" s="14" t="s">
        <v>523</v>
      </c>
      <c r="E328" s="14" t="s">
        <v>523</v>
      </c>
      <c r="F328" s="14" t="s">
        <v>523</v>
      </c>
      <c r="G328" s="265"/>
      <c r="H328" s="266"/>
      <c r="I328" s="266"/>
      <c r="J328" s="265"/>
      <c r="K328" s="267"/>
      <c r="L328" s="268">
        <f>+Tabla1[[#This Row],[Precio Unitario]]*Tabla1[[#This Row],[Cantidad de Insumos]]</f>
        <v>0</v>
      </c>
      <c r="M328" s="269"/>
      <c r="N328" s="266"/>
    </row>
    <row r="329" spans="2:14" ht="12.75" x14ac:dyDescent="0.2">
      <c r="B329" s="14" t="str">
        <f>IF(Tabla1[[#This Row],[Código_Actividad]]="","",CONCATENATE(Tabla1[[#This Row],[POA]],".",Tabla1[[#This Row],[SRS]],".",Tabla1[[#This Row],[AREA]],".",Tabla1[[#This Row],[TIPO]]))</f>
        <v/>
      </c>
      <c r="C329" s="14" t="s">
        <v>523</v>
      </c>
      <c r="D329" s="14" t="s">
        <v>523</v>
      </c>
      <c r="E329" s="14" t="s">
        <v>523</v>
      </c>
      <c r="F329" s="14" t="s">
        <v>523</v>
      </c>
      <c r="G329" s="265"/>
      <c r="H329" s="266"/>
      <c r="I329" s="266"/>
      <c r="J329" s="265"/>
      <c r="K329" s="267"/>
      <c r="L329" s="268">
        <f>+Tabla1[[#This Row],[Precio Unitario]]*Tabla1[[#This Row],[Cantidad de Insumos]]</f>
        <v>0</v>
      </c>
      <c r="M329" s="269"/>
      <c r="N329" s="266"/>
    </row>
    <row r="330" spans="2:14" ht="12.75" x14ac:dyDescent="0.2">
      <c r="B330" s="14" t="str">
        <f>IF(Tabla1[[#This Row],[Código_Actividad]]="","",CONCATENATE(Tabla1[[#This Row],[POA]],".",Tabla1[[#This Row],[SRS]],".",Tabla1[[#This Row],[AREA]],".",Tabla1[[#This Row],[TIPO]]))</f>
        <v/>
      </c>
      <c r="C330" s="14" t="s">
        <v>523</v>
      </c>
      <c r="D330" s="14" t="s">
        <v>523</v>
      </c>
      <c r="E330" s="14" t="s">
        <v>523</v>
      </c>
      <c r="F330" s="14" t="s">
        <v>523</v>
      </c>
      <c r="G330" s="265"/>
      <c r="H330" s="266"/>
      <c r="I330" s="266"/>
      <c r="J330" s="265"/>
      <c r="K330" s="267"/>
      <c r="L330" s="268">
        <f>+Tabla1[[#This Row],[Precio Unitario]]*Tabla1[[#This Row],[Cantidad de Insumos]]</f>
        <v>0</v>
      </c>
      <c r="M330" s="269"/>
      <c r="N330" s="266"/>
    </row>
    <row r="331" spans="2:14" ht="12.75" x14ac:dyDescent="0.2">
      <c r="B331" s="14" t="str">
        <f>IF(Tabla1[[#This Row],[Código_Actividad]]="","",CONCATENATE(Tabla1[[#This Row],[POA]],".",Tabla1[[#This Row],[SRS]],".",Tabla1[[#This Row],[AREA]],".",Tabla1[[#This Row],[TIPO]]))</f>
        <v/>
      </c>
      <c r="C331" s="14" t="s">
        <v>523</v>
      </c>
      <c r="D331" s="14" t="s">
        <v>523</v>
      </c>
      <c r="E331" s="14" t="s">
        <v>523</v>
      </c>
      <c r="F331" s="14" t="s">
        <v>523</v>
      </c>
      <c r="G331" s="265"/>
      <c r="H331" s="266"/>
      <c r="I331" s="266"/>
      <c r="J331" s="265"/>
      <c r="K331" s="267"/>
      <c r="L331" s="268">
        <f>+Tabla1[[#This Row],[Precio Unitario]]*Tabla1[[#This Row],[Cantidad de Insumos]]</f>
        <v>0</v>
      </c>
      <c r="M331" s="269"/>
      <c r="N331" s="266"/>
    </row>
    <row r="332" spans="2:14" ht="12.75" x14ac:dyDescent="0.2">
      <c r="B332" s="14" t="str">
        <f>IF(Tabla1[[#This Row],[Código_Actividad]]="","",CONCATENATE(Tabla1[[#This Row],[POA]],".",Tabla1[[#This Row],[SRS]],".",Tabla1[[#This Row],[AREA]],".",Tabla1[[#This Row],[TIPO]]))</f>
        <v/>
      </c>
      <c r="C332" s="14" t="s">
        <v>523</v>
      </c>
      <c r="D332" s="14" t="s">
        <v>523</v>
      </c>
      <c r="E332" s="14" t="s">
        <v>523</v>
      </c>
      <c r="F332" s="14" t="s">
        <v>523</v>
      </c>
      <c r="G332" s="265"/>
      <c r="H332" s="266"/>
      <c r="I332" s="266"/>
      <c r="J332" s="265"/>
      <c r="K332" s="267"/>
      <c r="L332" s="268">
        <f>+Tabla1[[#This Row],[Precio Unitario]]*Tabla1[[#This Row],[Cantidad de Insumos]]</f>
        <v>0</v>
      </c>
      <c r="M332" s="269"/>
      <c r="N332" s="266"/>
    </row>
    <row r="333" spans="2:14" ht="12.75" x14ac:dyDescent="0.2">
      <c r="B333" s="14" t="str">
        <f>IF(Tabla1[[#This Row],[Código_Actividad]]="","",CONCATENATE(Tabla1[[#This Row],[POA]],".",Tabla1[[#This Row],[SRS]],".",Tabla1[[#This Row],[AREA]],".",Tabla1[[#This Row],[TIPO]]))</f>
        <v/>
      </c>
      <c r="C333" s="14" t="s">
        <v>523</v>
      </c>
      <c r="D333" s="14" t="s">
        <v>523</v>
      </c>
      <c r="E333" s="14" t="s">
        <v>523</v>
      </c>
      <c r="F333" s="14" t="s">
        <v>523</v>
      </c>
      <c r="G333" s="265"/>
      <c r="H333" s="266"/>
      <c r="I333" s="266"/>
      <c r="J333" s="265"/>
      <c r="K333" s="267"/>
      <c r="L333" s="268">
        <f>+Tabla1[[#This Row],[Precio Unitario]]*Tabla1[[#This Row],[Cantidad de Insumos]]</f>
        <v>0</v>
      </c>
      <c r="M333" s="269"/>
      <c r="N333" s="266"/>
    </row>
    <row r="334" spans="2:14" ht="12.75" x14ac:dyDescent="0.2">
      <c r="B334" s="14"/>
      <c r="C334" s="14"/>
      <c r="D334" s="14"/>
      <c r="E334" s="14"/>
      <c r="F334" s="14"/>
      <c r="G334" s="400"/>
      <c r="H334" s="401"/>
      <c r="I334" s="401"/>
      <c r="J334" s="400"/>
      <c r="K334" s="402"/>
      <c r="L334" s="403"/>
      <c r="M334" s="404"/>
      <c r="N334" s="401"/>
    </row>
    <row r="335" spans="2:14" ht="12.75" x14ac:dyDescent="0.2">
      <c r="B335" s="14"/>
      <c r="C335" s="14"/>
      <c r="D335" s="14"/>
      <c r="E335" s="14"/>
      <c r="F335" s="14"/>
      <c r="G335" s="400"/>
      <c r="H335" s="401"/>
      <c r="I335" s="401"/>
      <c r="J335" s="400"/>
      <c r="K335" s="402"/>
      <c r="L335" s="403"/>
      <c r="M335" s="404"/>
      <c r="N335" s="401"/>
    </row>
    <row r="336" spans="2:14" s="56" customFormat="1" x14ac:dyDescent="0.25">
      <c r="G336" s="257"/>
      <c r="H336" s="257"/>
      <c r="I336" s="257"/>
      <c r="J336" s="257"/>
      <c r="K336" s="270"/>
      <c r="L336" s="257"/>
      <c r="M336" s="257"/>
      <c r="N336" s="257"/>
    </row>
    <row r="337" spans="7:14" s="56" customFormat="1" x14ac:dyDescent="0.25">
      <c r="G337" s="257"/>
      <c r="H337" s="257"/>
      <c r="I337" s="257"/>
      <c r="J337" s="257"/>
      <c r="K337" s="270"/>
      <c r="L337" s="257"/>
      <c r="M337" s="257"/>
      <c r="N337" s="257"/>
    </row>
    <row r="338" spans="7:14" s="56" customFormat="1" x14ac:dyDescent="0.25">
      <c r="G338" s="257"/>
      <c r="H338" s="257"/>
      <c r="I338" s="257"/>
      <c r="J338" s="257"/>
      <c r="K338" s="270"/>
      <c r="L338" s="257"/>
      <c r="M338" s="257"/>
      <c r="N338" s="257"/>
    </row>
    <row r="339" spans="7:14" s="56" customFormat="1" x14ac:dyDescent="0.25">
      <c r="G339" s="257"/>
      <c r="H339" s="257"/>
      <c r="I339" s="257"/>
      <c r="J339" s="257"/>
      <c r="K339" s="270"/>
      <c r="L339" s="257"/>
      <c r="M339" s="257"/>
      <c r="N339" s="257"/>
    </row>
    <row r="340" spans="7:14" s="56" customFormat="1" x14ac:dyDescent="0.25">
      <c r="G340" s="257"/>
      <c r="H340" s="257"/>
      <c r="I340" s="257"/>
      <c r="J340" s="257"/>
      <c r="K340" s="270"/>
      <c r="L340" s="257"/>
      <c r="M340" s="257"/>
      <c r="N340" s="257"/>
    </row>
    <row r="341" spans="7:14" s="56" customFormat="1" x14ac:dyDescent="0.25">
      <c r="G341" s="257"/>
      <c r="H341" s="257"/>
      <c r="I341" s="257"/>
      <c r="J341" s="257"/>
      <c r="K341" s="270"/>
      <c r="L341" s="257"/>
      <c r="M341" s="257"/>
      <c r="N341" s="257"/>
    </row>
    <row r="342" spans="7:14" s="56" customFormat="1" x14ac:dyDescent="0.25">
      <c r="G342" s="257"/>
      <c r="H342" s="257"/>
      <c r="I342" s="257"/>
      <c r="J342" s="257"/>
      <c r="K342" s="270"/>
      <c r="L342" s="257"/>
      <c r="M342" s="257"/>
      <c r="N342" s="257"/>
    </row>
    <row r="343" spans="7:14" s="56" customFormat="1" x14ac:dyDescent="0.25">
      <c r="G343" s="257"/>
      <c r="H343" s="257"/>
      <c r="I343" s="257"/>
      <c r="J343" s="257"/>
      <c r="K343" s="270"/>
      <c r="L343" s="257"/>
      <c r="M343" s="257"/>
      <c r="N343" s="257"/>
    </row>
    <row r="344" spans="7:14" s="56" customFormat="1" x14ac:dyDescent="0.25">
      <c r="G344" s="257"/>
      <c r="H344" s="257"/>
      <c r="I344" s="257"/>
      <c r="J344" s="257"/>
      <c r="K344" s="270"/>
      <c r="L344" s="257"/>
      <c r="M344" s="257"/>
      <c r="N344" s="257"/>
    </row>
    <row r="345" spans="7:14" s="56" customFormat="1" x14ac:dyDescent="0.25">
      <c r="G345" s="257"/>
      <c r="H345" s="257"/>
      <c r="I345" s="257"/>
      <c r="J345" s="257"/>
      <c r="K345" s="270"/>
      <c r="L345" s="257"/>
      <c r="M345" s="257"/>
      <c r="N345" s="257"/>
    </row>
    <row r="346" spans="7:14" s="56" customFormat="1" x14ac:dyDescent="0.25">
      <c r="G346" s="257"/>
      <c r="H346" s="257"/>
      <c r="I346" s="257"/>
      <c r="J346" s="257"/>
      <c r="K346" s="270"/>
      <c r="L346" s="257"/>
      <c r="M346" s="257"/>
      <c r="N346" s="257"/>
    </row>
    <row r="347" spans="7:14" s="56" customFormat="1" x14ac:dyDescent="0.25">
      <c r="G347" s="257"/>
      <c r="H347" s="257"/>
      <c r="I347" s="257"/>
      <c r="J347" s="257"/>
      <c r="K347" s="270"/>
      <c r="L347" s="257"/>
      <c r="M347" s="257"/>
      <c r="N347" s="257"/>
    </row>
    <row r="348" spans="7:14" s="56" customFormat="1" x14ac:dyDescent="0.25">
      <c r="G348" s="257"/>
      <c r="H348" s="257"/>
      <c r="I348" s="257"/>
      <c r="J348" s="257"/>
      <c r="K348" s="270"/>
      <c r="L348" s="257"/>
      <c r="M348" s="257"/>
      <c r="N348" s="257"/>
    </row>
    <row r="349" spans="7:14" s="56" customFormat="1" x14ac:dyDescent="0.25">
      <c r="G349" s="257"/>
      <c r="H349" s="257"/>
      <c r="I349" s="257"/>
      <c r="J349" s="257"/>
      <c r="K349" s="270"/>
      <c r="L349" s="257"/>
      <c r="M349" s="257"/>
      <c r="N349" s="257"/>
    </row>
    <row r="350" spans="7:14" s="56" customFormat="1" x14ac:dyDescent="0.25">
      <c r="G350" s="257"/>
      <c r="H350" s="257"/>
      <c r="I350" s="257"/>
      <c r="J350" s="257"/>
      <c r="K350" s="270"/>
      <c r="L350" s="257"/>
      <c r="M350" s="257"/>
      <c r="N350" s="257"/>
    </row>
    <row r="351" spans="7:14" s="56" customFormat="1" x14ac:dyDescent="0.25">
      <c r="G351" s="257"/>
      <c r="H351" s="257"/>
      <c r="I351" s="257"/>
      <c r="J351" s="257"/>
      <c r="K351" s="270"/>
      <c r="L351" s="257"/>
      <c r="M351" s="257"/>
      <c r="N351" s="257"/>
    </row>
    <row r="352" spans="7:14" s="56" customFormat="1" x14ac:dyDescent="0.25">
      <c r="G352" s="257"/>
      <c r="H352" s="257"/>
      <c r="I352" s="257"/>
      <c r="J352" s="257"/>
      <c r="K352" s="270"/>
      <c r="L352" s="257"/>
      <c r="M352" s="257"/>
      <c r="N352" s="257"/>
    </row>
    <row r="353" spans="7:14" s="56" customFormat="1" x14ac:dyDescent="0.25">
      <c r="G353" s="257"/>
      <c r="H353" s="257"/>
      <c r="I353" s="257"/>
      <c r="J353" s="257"/>
      <c r="K353" s="270"/>
      <c r="L353" s="257"/>
      <c r="M353" s="257"/>
      <c r="N353" s="257"/>
    </row>
    <row r="354" spans="7:14" s="56" customFormat="1" x14ac:dyDescent="0.25">
      <c r="G354" s="257"/>
      <c r="H354" s="257"/>
      <c r="I354" s="257"/>
      <c r="J354" s="257"/>
      <c r="K354" s="270"/>
      <c r="L354" s="257"/>
      <c r="M354" s="257"/>
      <c r="N354" s="257"/>
    </row>
    <row r="355" spans="7:14" s="56" customFormat="1" x14ac:dyDescent="0.25">
      <c r="G355" s="257"/>
      <c r="H355" s="257"/>
      <c r="I355" s="257"/>
      <c r="J355" s="257"/>
      <c r="K355" s="270"/>
      <c r="L355" s="257"/>
      <c r="M355" s="257"/>
      <c r="N355" s="257"/>
    </row>
    <row r="356" spans="7:14" s="56" customFormat="1" x14ac:dyDescent="0.25">
      <c r="G356" s="257"/>
      <c r="H356" s="257"/>
      <c r="I356" s="257"/>
      <c r="J356" s="257"/>
      <c r="K356" s="270"/>
      <c r="L356" s="257"/>
      <c r="M356" s="257"/>
      <c r="N356" s="257"/>
    </row>
    <row r="357" spans="7:14" s="56" customFormat="1" x14ac:dyDescent="0.25">
      <c r="G357" s="257"/>
      <c r="H357" s="257"/>
      <c r="I357" s="257"/>
      <c r="J357" s="257"/>
      <c r="K357" s="270"/>
      <c r="L357" s="257"/>
      <c r="M357" s="257"/>
      <c r="N357" s="257"/>
    </row>
    <row r="358" spans="7:14" s="56" customFormat="1" x14ac:dyDescent="0.25">
      <c r="G358" s="257"/>
      <c r="H358" s="257"/>
      <c r="I358" s="257"/>
      <c r="J358" s="257"/>
      <c r="K358" s="270"/>
      <c r="L358" s="257"/>
      <c r="M358" s="257"/>
      <c r="N358" s="257"/>
    </row>
    <row r="359" spans="7:14" s="56" customFormat="1" x14ac:dyDescent="0.25">
      <c r="G359" s="257"/>
      <c r="H359" s="257"/>
      <c r="I359" s="257"/>
      <c r="J359" s="257"/>
      <c r="K359" s="270"/>
      <c r="L359" s="257"/>
      <c r="M359" s="257"/>
      <c r="N359" s="257"/>
    </row>
    <row r="360" spans="7:14" s="56" customFormat="1" x14ac:dyDescent="0.25">
      <c r="G360" s="257"/>
      <c r="H360" s="257"/>
      <c r="I360" s="257"/>
      <c r="J360" s="257"/>
      <c r="K360" s="270"/>
      <c r="L360" s="257"/>
      <c r="M360" s="257"/>
      <c r="N360" s="257"/>
    </row>
    <row r="361" spans="7:14" s="56" customFormat="1" x14ac:dyDescent="0.25">
      <c r="G361" s="257"/>
      <c r="H361" s="257"/>
      <c r="I361" s="257"/>
      <c r="J361" s="257"/>
      <c r="K361" s="270"/>
      <c r="L361" s="257"/>
      <c r="M361" s="257"/>
      <c r="N361" s="257"/>
    </row>
    <row r="362" spans="7:14" s="56" customFormat="1" x14ac:dyDescent="0.25">
      <c r="G362" s="257"/>
      <c r="H362" s="257"/>
      <c r="I362" s="257"/>
      <c r="J362" s="257"/>
      <c r="K362" s="270"/>
      <c r="L362" s="257"/>
      <c r="M362" s="257"/>
      <c r="N362" s="257"/>
    </row>
    <row r="363" spans="7:14" s="56" customFormat="1" x14ac:dyDescent="0.25">
      <c r="G363" s="257"/>
      <c r="H363" s="257"/>
      <c r="I363" s="257"/>
      <c r="J363" s="257"/>
      <c r="K363" s="270"/>
      <c r="L363" s="257"/>
      <c r="M363" s="257"/>
      <c r="N363" s="257"/>
    </row>
    <row r="364" spans="7:14" s="56" customFormat="1" x14ac:dyDescent="0.25">
      <c r="G364" s="257"/>
      <c r="H364" s="257"/>
      <c r="I364" s="257"/>
      <c r="J364" s="257"/>
      <c r="K364" s="270"/>
      <c r="L364" s="257"/>
      <c r="M364" s="257"/>
      <c r="N364" s="257"/>
    </row>
    <row r="365" spans="7:14" s="56" customFormat="1" x14ac:dyDescent="0.25">
      <c r="G365" s="257"/>
      <c r="H365" s="257"/>
      <c r="I365" s="257"/>
      <c r="J365" s="257"/>
      <c r="K365" s="270"/>
      <c r="L365" s="257"/>
      <c r="M365" s="257"/>
      <c r="N365" s="257"/>
    </row>
    <row r="366" spans="7:14" s="56" customFormat="1" x14ac:dyDescent="0.25">
      <c r="G366" s="257"/>
      <c r="H366" s="257"/>
      <c r="I366" s="257"/>
      <c r="J366" s="257"/>
      <c r="K366" s="270"/>
      <c r="L366" s="257"/>
      <c r="M366" s="257"/>
      <c r="N366" s="257"/>
    </row>
    <row r="367" spans="7:14" s="56" customFormat="1" x14ac:dyDescent="0.25">
      <c r="G367" s="257"/>
      <c r="H367" s="257"/>
      <c r="I367" s="257"/>
      <c r="J367" s="257"/>
      <c r="K367" s="270"/>
      <c r="L367" s="257"/>
      <c r="M367" s="257"/>
      <c r="N367" s="257"/>
    </row>
    <row r="368" spans="7:14" s="56" customFormat="1" x14ac:dyDescent="0.25">
      <c r="G368" s="257"/>
      <c r="H368" s="257"/>
      <c r="I368" s="257"/>
      <c r="J368" s="257"/>
      <c r="K368" s="270"/>
      <c r="L368" s="257"/>
      <c r="M368" s="257"/>
      <c r="N368" s="257"/>
    </row>
    <row r="369" spans="7:14" s="56" customFormat="1" x14ac:dyDescent="0.25">
      <c r="G369" s="257"/>
      <c r="H369" s="257"/>
      <c r="I369" s="257"/>
      <c r="J369" s="257"/>
      <c r="K369" s="270"/>
      <c r="L369" s="257"/>
      <c r="M369" s="257"/>
      <c r="N369" s="257"/>
    </row>
    <row r="370" spans="7:14" s="56" customFormat="1" x14ac:dyDescent="0.25">
      <c r="G370" s="257"/>
      <c r="H370" s="257"/>
      <c r="I370" s="257"/>
      <c r="J370" s="257"/>
      <c r="K370" s="270"/>
      <c r="L370" s="257"/>
      <c r="M370" s="257"/>
      <c r="N370" s="257"/>
    </row>
    <row r="371" spans="7:14" s="56" customFormat="1" x14ac:dyDescent="0.25">
      <c r="G371" s="257"/>
      <c r="H371" s="257"/>
      <c r="I371" s="257"/>
      <c r="J371" s="257"/>
      <c r="K371" s="270"/>
      <c r="L371" s="257"/>
      <c r="M371" s="257"/>
      <c r="N371" s="257"/>
    </row>
    <row r="372" spans="7:14" s="56" customFormat="1" x14ac:dyDescent="0.25">
      <c r="G372" s="257"/>
      <c r="H372" s="257"/>
      <c r="I372" s="257"/>
      <c r="J372" s="257"/>
      <c r="K372" s="270"/>
      <c r="L372" s="257"/>
      <c r="M372" s="257"/>
      <c r="N372" s="257"/>
    </row>
    <row r="373" spans="7:14" s="56" customFormat="1" x14ac:dyDescent="0.25">
      <c r="G373" s="257"/>
      <c r="H373" s="257"/>
      <c r="I373" s="257"/>
      <c r="J373" s="257"/>
      <c r="K373" s="270"/>
      <c r="L373" s="257"/>
      <c r="M373" s="257"/>
      <c r="N373" s="257"/>
    </row>
    <row r="374" spans="7:14" s="56" customFormat="1" x14ac:dyDescent="0.25">
      <c r="G374" s="257"/>
      <c r="H374" s="257"/>
      <c r="I374" s="257"/>
      <c r="J374" s="257"/>
      <c r="K374" s="270"/>
      <c r="L374" s="257"/>
      <c r="M374" s="257"/>
      <c r="N374" s="257"/>
    </row>
    <row r="375" spans="7:14" s="56" customFormat="1" x14ac:dyDescent="0.25">
      <c r="G375" s="257"/>
      <c r="H375" s="257"/>
      <c r="I375" s="257"/>
      <c r="J375" s="257"/>
      <c r="K375" s="270"/>
      <c r="L375" s="257"/>
      <c r="M375" s="257"/>
      <c r="N375" s="257"/>
    </row>
    <row r="376" spans="7:14" s="56" customFormat="1" x14ac:dyDescent="0.25">
      <c r="G376" s="257"/>
      <c r="H376" s="257"/>
      <c r="I376" s="257"/>
      <c r="J376" s="257"/>
      <c r="K376" s="270"/>
      <c r="L376" s="257"/>
      <c r="M376" s="257"/>
      <c r="N376" s="257"/>
    </row>
    <row r="377" spans="7:14" s="56" customFormat="1" x14ac:dyDescent="0.25">
      <c r="G377" s="257"/>
      <c r="H377" s="257"/>
      <c r="I377" s="257"/>
      <c r="J377" s="257"/>
      <c r="K377" s="270"/>
      <c r="L377" s="257"/>
      <c r="M377" s="257"/>
      <c r="N377" s="257"/>
    </row>
    <row r="378" spans="7:14" s="56" customFormat="1" x14ac:dyDescent="0.25">
      <c r="G378" s="257"/>
      <c r="H378" s="257"/>
      <c r="I378" s="257"/>
      <c r="J378" s="257"/>
      <c r="K378" s="270"/>
      <c r="L378" s="257"/>
      <c r="M378" s="257"/>
      <c r="N378" s="257"/>
    </row>
    <row r="379" spans="7:14" s="56" customFormat="1" x14ac:dyDescent="0.25">
      <c r="G379" s="257"/>
      <c r="H379" s="257"/>
      <c r="I379" s="257"/>
      <c r="J379" s="257"/>
      <c r="K379" s="270"/>
      <c r="L379" s="257"/>
      <c r="M379" s="257"/>
      <c r="N379" s="257"/>
    </row>
    <row r="380" spans="7:14" s="56" customFormat="1" x14ac:dyDescent="0.25">
      <c r="G380" s="257"/>
      <c r="H380" s="257"/>
      <c r="I380" s="257"/>
      <c r="J380" s="257"/>
      <c r="K380" s="270"/>
      <c r="L380" s="257"/>
      <c r="M380" s="257"/>
      <c r="N380" s="257"/>
    </row>
    <row r="381" spans="7:14" s="56" customFormat="1" x14ac:dyDescent="0.25">
      <c r="G381" s="257"/>
      <c r="H381" s="257"/>
      <c r="I381" s="257"/>
      <c r="J381" s="257"/>
      <c r="K381" s="270"/>
      <c r="L381" s="257"/>
      <c r="M381" s="257"/>
      <c r="N381" s="257"/>
    </row>
    <row r="382" spans="7:14" s="56" customFormat="1" x14ac:dyDescent="0.25">
      <c r="G382" s="257"/>
      <c r="H382" s="257"/>
      <c r="I382" s="257"/>
      <c r="J382" s="257"/>
      <c r="K382" s="270"/>
      <c r="L382" s="257"/>
      <c r="M382" s="257"/>
      <c r="N382" s="257"/>
    </row>
    <row r="383" spans="7:14" s="56" customFormat="1" x14ac:dyDescent="0.25">
      <c r="G383" s="257"/>
      <c r="H383" s="257"/>
      <c r="I383" s="257"/>
      <c r="J383" s="257"/>
      <c r="K383" s="270"/>
      <c r="L383" s="257"/>
      <c r="M383" s="257"/>
      <c r="N383" s="257"/>
    </row>
    <row r="384" spans="7:14" s="56" customFormat="1" x14ac:dyDescent="0.25">
      <c r="G384" s="257"/>
      <c r="H384" s="257"/>
      <c r="I384" s="257"/>
      <c r="J384" s="257"/>
      <c r="K384" s="270"/>
      <c r="L384" s="257"/>
      <c r="M384" s="257"/>
      <c r="N384" s="257"/>
    </row>
    <row r="385" spans="7:14" s="56" customFormat="1" x14ac:dyDescent="0.25">
      <c r="G385" s="257"/>
      <c r="H385" s="257"/>
      <c r="I385" s="257"/>
      <c r="J385" s="257"/>
      <c r="K385" s="270"/>
      <c r="L385" s="257"/>
      <c r="M385" s="257"/>
      <c r="N385" s="257"/>
    </row>
    <row r="386" spans="7:14" s="56" customFormat="1" x14ac:dyDescent="0.25">
      <c r="G386" s="257"/>
      <c r="H386" s="257"/>
      <c r="I386" s="257"/>
      <c r="J386" s="257"/>
      <c r="K386" s="270"/>
      <c r="L386" s="257"/>
      <c r="M386" s="257"/>
      <c r="N386" s="257"/>
    </row>
    <row r="387" spans="7:14" s="56" customFormat="1" x14ac:dyDescent="0.25">
      <c r="G387" s="257"/>
      <c r="H387" s="257"/>
      <c r="I387" s="257"/>
      <c r="J387" s="257"/>
      <c r="K387" s="270"/>
      <c r="L387" s="257"/>
      <c r="M387" s="257"/>
      <c r="N387" s="257"/>
    </row>
    <row r="388" spans="7:14" s="56" customFormat="1" x14ac:dyDescent="0.25">
      <c r="G388" s="257"/>
      <c r="H388" s="257"/>
      <c r="I388" s="257"/>
      <c r="J388" s="257"/>
      <c r="K388" s="270"/>
      <c r="L388" s="257"/>
      <c r="M388" s="257"/>
      <c r="N388" s="257"/>
    </row>
    <row r="389" spans="7:14" s="56" customFormat="1" x14ac:dyDescent="0.25">
      <c r="G389" s="257"/>
      <c r="H389" s="257"/>
      <c r="I389" s="257"/>
      <c r="J389" s="257"/>
      <c r="K389" s="270"/>
      <c r="L389" s="257"/>
      <c r="M389" s="257"/>
      <c r="N389" s="257"/>
    </row>
    <row r="390" spans="7:14" s="56" customFormat="1" x14ac:dyDescent="0.25">
      <c r="G390" s="257"/>
      <c r="H390" s="257"/>
      <c r="I390" s="257"/>
      <c r="J390" s="257"/>
      <c r="K390" s="270"/>
      <c r="L390" s="257"/>
      <c r="M390" s="257"/>
      <c r="N390" s="257"/>
    </row>
    <row r="391" spans="7:14" s="56" customFormat="1" x14ac:dyDescent="0.25">
      <c r="G391" s="257"/>
      <c r="H391" s="257"/>
      <c r="I391" s="257"/>
      <c r="J391" s="257"/>
      <c r="K391" s="270"/>
      <c r="L391" s="257"/>
      <c r="M391" s="257"/>
      <c r="N391" s="257"/>
    </row>
    <row r="392" spans="7:14" s="56" customFormat="1" x14ac:dyDescent="0.25">
      <c r="G392" s="257"/>
      <c r="H392" s="257"/>
      <c r="I392" s="257"/>
      <c r="J392" s="257"/>
      <c r="K392" s="270"/>
      <c r="L392" s="257"/>
      <c r="M392" s="257"/>
      <c r="N392" s="257"/>
    </row>
    <row r="393" spans="7:14" s="56" customFormat="1" x14ac:dyDescent="0.25">
      <c r="G393" s="257"/>
      <c r="H393" s="257"/>
      <c r="I393" s="257"/>
      <c r="J393" s="257"/>
      <c r="K393" s="270"/>
      <c r="L393" s="257"/>
      <c r="M393" s="257"/>
      <c r="N393" s="257"/>
    </row>
    <row r="394" spans="7:14" s="56" customFormat="1" x14ac:dyDescent="0.25">
      <c r="G394" s="257"/>
      <c r="H394" s="257"/>
      <c r="I394" s="257"/>
      <c r="J394" s="257"/>
      <c r="K394" s="270"/>
      <c r="L394" s="257"/>
      <c r="M394" s="257"/>
      <c r="N394" s="257"/>
    </row>
    <row r="395" spans="7:14" s="56" customFormat="1" x14ac:dyDescent="0.25">
      <c r="G395" s="257"/>
      <c r="H395" s="257"/>
      <c r="I395" s="257"/>
      <c r="J395" s="257"/>
      <c r="K395" s="270"/>
      <c r="L395" s="257"/>
      <c r="M395" s="257"/>
      <c r="N395" s="257"/>
    </row>
    <row r="396" spans="7:14" s="56" customFormat="1" x14ac:dyDescent="0.25">
      <c r="G396" s="257"/>
      <c r="H396" s="257"/>
      <c r="I396" s="257"/>
      <c r="J396" s="257"/>
      <c r="K396" s="270"/>
      <c r="L396" s="257"/>
      <c r="M396" s="257"/>
      <c r="N396" s="257"/>
    </row>
    <row r="397" spans="7:14" s="56" customFormat="1" x14ac:dyDescent="0.25">
      <c r="G397" s="257"/>
      <c r="H397" s="257"/>
      <c r="I397" s="257"/>
      <c r="J397" s="257"/>
      <c r="K397" s="270"/>
      <c r="L397" s="257"/>
      <c r="M397" s="257"/>
      <c r="N397" s="257"/>
    </row>
    <row r="398" spans="7:14" s="56" customFormat="1" x14ac:dyDescent="0.25">
      <c r="G398" s="257"/>
      <c r="H398" s="257"/>
      <c r="I398" s="257"/>
      <c r="J398" s="257"/>
      <c r="K398" s="270"/>
      <c r="L398" s="257"/>
      <c r="M398" s="257"/>
      <c r="N398" s="257"/>
    </row>
    <row r="399" spans="7:14" s="56" customFormat="1" x14ac:dyDescent="0.25">
      <c r="G399" s="257"/>
      <c r="H399" s="257"/>
      <c r="I399" s="257"/>
      <c r="J399" s="257"/>
      <c r="K399" s="270"/>
      <c r="L399" s="257"/>
      <c r="M399" s="257"/>
      <c r="N399" s="257"/>
    </row>
    <row r="400" spans="7:14" s="56" customFormat="1" x14ac:dyDescent="0.25">
      <c r="G400" s="257"/>
      <c r="H400" s="257"/>
      <c r="I400" s="257"/>
      <c r="J400" s="257"/>
      <c r="K400" s="270"/>
      <c r="L400" s="257"/>
      <c r="M400" s="257"/>
      <c r="N400" s="257"/>
    </row>
    <row r="401" spans="7:14" s="56" customFormat="1" x14ac:dyDescent="0.25">
      <c r="G401" s="257"/>
      <c r="H401" s="257"/>
      <c r="I401" s="257"/>
      <c r="J401" s="257"/>
      <c r="K401" s="270"/>
      <c r="L401" s="257"/>
      <c r="M401" s="257"/>
      <c r="N401" s="257"/>
    </row>
    <row r="402" spans="7:14" s="56" customFormat="1" x14ac:dyDescent="0.25">
      <c r="G402" s="257"/>
      <c r="H402" s="257"/>
      <c r="I402" s="257"/>
      <c r="J402" s="257"/>
      <c r="K402" s="270"/>
      <c r="L402" s="257"/>
      <c r="M402" s="257"/>
      <c r="N402" s="257"/>
    </row>
    <row r="403" spans="7:14" s="56" customFormat="1" x14ac:dyDescent="0.25">
      <c r="G403" s="257"/>
      <c r="H403" s="257"/>
      <c r="I403" s="257"/>
      <c r="J403" s="257"/>
      <c r="K403" s="270"/>
      <c r="L403" s="257"/>
      <c r="M403" s="257"/>
      <c r="N403" s="257"/>
    </row>
    <row r="404" spans="7:14" s="56" customFormat="1" x14ac:dyDescent="0.25">
      <c r="G404" s="257"/>
      <c r="H404" s="257"/>
      <c r="I404" s="257"/>
      <c r="J404" s="257"/>
      <c r="K404" s="270"/>
      <c r="L404" s="257"/>
      <c r="M404" s="257"/>
      <c r="N404" s="257"/>
    </row>
    <row r="405" spans="7:14" s="56" customFormat="1" x14ac:dyDescent="0.25">
      <c r="G405" s="257"/>
      <c r="H405" s="257"/>
      <c r="I405" s="257"/>
      <c r="J405" s="257"/>
      <c r="K405" s="270"/>
      <c r="L405" s="257"/>
      <c r="M405" s="257"/>
      <c r="N405" s="257"/>
    </row>
    <row r="406" spans="7:14" s="56" customFormat="1" x14ac:dyDescent="0.25">
      <c r="G406" s="257"/>
      <c r="H406" s="257"/>
      <c r="I406" s="257"/>
      <c r="J406" s="257"/>
      <c r="K406" s="270"/>
      <c r="L406" s="257"/>
      <c r="M406" s="257"/>
      <c r="N406" s="257"/>
    </row>
    <row r="407" spans="7:14" s="56" customFormat="1" x14ac:dyDescent="0.25">
      <c r="G407" s="257"/>
      <c r="H407" s="257"/>
      <c r="I407" s="257"/>
      <c r="J407" s="257"/>
      <c r="K407" s="270"/>
      <c r="L407" s="257"/>
      <c r="M407" s="257"/>
      <c r="N407" s="257"/>
    </row>
    <row r="408" spans="7:14" s="56" customFormat="1" x14ac:dyDescent="0.25">
      <c r="G408" s="257"/>
      <c r="H408" s="257"/>
      <c r="I408" s="257"/>
      <c r="J408" s="257"/>
      <c r="K408" s="270"/>
      <c r="L408" s="257"/>
      <c r="M408" s="257"/>
      <c r="N408" s="257"/>
    </row>
    <row r="409" spans="7:14" s="56" customFormat="1" x14ac:dyDescent="0.25">
      <c r="G409" s="257"/>
      <c r="H409" s="257"/>
      <c r="I409" s="257"/>
      <c r="J409" s="257"/>
      <c r="K409" s="270"/>
      <c r="L409" s="257"/>
      <c r="M409" s="257"/>
      <c r="N409" s="257"/>
    </row>
    <row r="410" spans="7:14" s="56" customFormat="1" x14ac:dyDescent="0.25">
      <c r="G410" s="257"/>
      <c r="H410" s="257"/>
      <c r="I410" s="257"/>
      <c r="J410" s="257"/>
      <c r="K410" s="270"/>
      <c r="L410" s="257"/>
      <c r="M410" s="257"/>
      <c r="N410" s="257"/>
    </row>
    <row r="411" spans="7:14" s="56" customFormat="1" x14ac:dyDescent="0.25">
      <c r="G411" s="257"/>
      <c r="H411" s="257"/>
      <c r="I411" s="257"/>
      <c r="J411" s="257"/>
      <c r="K411" s="270"/>
      <c r="L411" s="257"/>
      <c r="M411" s="257"/>
      <c r="N411" s="257"/>
    </row>
    <row r="412" spans="7:14" s="56" customFormat="1" x14ac:dyDescent="0.25">
      <c r="G412" s="257"/>
      <c r="H412" s="257"/>
      <c r="I412" s="257"/>
      <c r="J412" s="257"/>
      <c r="K412" s="270"/>
      <c r="L412" s="257"/>
      <c r="M412" s="257"/>
      <c r="N412" s="257"/>
    </row>
    <row r="413" spans="7:14" s="56" customFormat="1" x14ac:dyDescent="0.25">
      <c r="G413" s="257"/>
      <c r="H413" s="257"/>
      <c r="I413" s="257"/>
      <c r="J413" s="257"/>
      <c r="K413" s="270"/>
      <c r="L413" s="257"/>
      <c r="M413" s="257"/>
      <c r="N413" s="257"/>
    </row>
    <row r="414" spans="7:14" s="56" customFormat="1" x14ac:dyDescent="0.25">
      <c r="G414" s="257"/>
      <c r="H414" s="257"/>
      <c r="I414" s="257"/>
      <c r="J414" s="257"/>
      <c r="K414" s="270"/>
      <c r="L414" s="257"/>
      <c r="M414" s="257"/>
      <c r="N414" s="257"/>
    </row>
    <row r="415" spans="7:14" s="56" customFormat="1" x14ac:dyDescent="0.25">
      <c r="G415" s="257"/>
      <c r="H415" s="257"/>
      <c r="I415" s="257"/>
      <c r="J415" s="257"/>
      <c r="K415" s="270"/>
      <c r="L415" s="257"/>
      <c r="M415" s="257"/>
      <c r="N415" s="257"/>
    </row>
    <row r="416" spans="7:14" s="56" customFormat="1" x14ac:dyDescent="0.25">
      <c r="G416" s="257"/>
      <c r="H416" s="257"/>
      <c r="I416" s="257"/>
      <c r="J416" s="257"/>
      <c r="K416" s="270"/>
      <c r="L416" s="257"/>
      <c r="M416" s="257"/>
      <c r="N416" s="257"/>
    </row>
    <row r="417" spans="7:14" s="56" customFormat="1" x14ac:dyDescent="0.25">
      <c r="G417" s="257"/>
      <c r="H417" s="257"/>
      <c r="I417" s="257"/>
      <c r="J417" s="257"/>
      <c r="K417" s="270"/>
      <c r="L417" s="257"/>
      <c r="M417" s="257"/>
      <c r="N417" s="257"/>
    </row>
    <row r="418" spans="7:14" s="56" customFormat="1" x14ac:dyDescent="0.25">
      <c r="G418" s="257"/>
      <c r="H418" s="257"/>
      <c r="I418" s="257"/>
      <c r="J418" s="257"/>
      <c r="K418" s="270"/>
      <c r="L418" s="257"/>
      <c r="M418" s="257"/>
      <c r="N418" s="257"/>
    </row>
    <row r="419" spans="7:14" s="56" customFormat="1" x14ac:dyDescent="0.25">
      <c r="G419" s="257"/>
      <c r="H419" s="257"/>
      <c r="I419" s="257"/>
      <c r="J419" s="257"/>
      <c r="K419" s="270"/>
      <c r="L419" s="257"/>
      <c r="M419" s="257"/>
      <c r="N419" s="257"/>
    </row>
    <row r="420" spans="7:14" s="56" customFormat="1" x14ac:dyDescent="0.25">
      <c r="G420" s="257"/>
      <c r="H420" s="257"/>
      <c r="I420" s="257"/>
      <c r="J420" s="257"/>
      <c r="K420" s="270"/>
      <c r="L420" s="257"/>
      <c r="M420" s="257"/>
      <c r="N420" s="257"/>
    </row>
    <row r="421" spans="7:14" s="56" customFormat="1" x14ac:dyDescent="0.25">
      <c r="G421" s="257"/>
      <c r="H421" s="257"/>
      <c r="I421" s="257"/>
      <c r="J421" s="257"/>
      <c r="K421" s="270"/>
      <c r="L421" s="257"/>
      <c r="M421" s="257"/>
      <c r="N421" s="257"/>
    </row>
    <row r="422" spans="7:14" s="56" customFormat="1" x14ac:dyDescent="0.25">
      <c r="G422" s="257"/>
      <c r="H422" s="257"/>
      <c r="I422" s="257"/>
      <c r="J422" s="257"/>
      <c r="K422" s="270"/>
      <c r="L422" s="257"/>
      <c r="M422" s="257"/>
      <c r="N422" s="257"/>
    </row>
    <row r="423" spans="7:14" s="56" customFormat="1" x14ac:dyDescent="0.25">
      <c r="G423" s="257"/>
      <c r="H423" s="257"/>
      <c r="I423" s="257"/>
      <c r="J423" s="257"/>
      <c r="K423" s="270"/>
      <c r="L423" s="257"/>
      <c r="M423" s="257"/>
      <c r="N423" s="257"/>
    </row>
    <row r="424" spans="7:14" s="56" customFormat="1" x14ac:dyDescent="0.25">
      <c r="G424" s="257"/>
      <c r="H424" s="257"/>
      <c r="I424" s="257"/>
      <c r="J424" s="257"/>
      <c r="K424" s="270"/>
      <c r="L424" s="257"/>
      <c r="M424" s="257"/>
      <c r="N424" s="257"/>
    </row>
    <row r="425" spans="7:14" s="56" customFormat="1" x14ac:dyDescent="0.25">
      <c r="G425" s="257"/>
      <c r="H425" s="257"/>
      <c r="I425" s="257"/>
      <c r="J425" s="257"/>
      <c r="K425" s="270"/>
      <c r="L425" s="257"/>
      <c r="M425" s="257"/>
      <c r="N425" s="257"/>
    </row>
    <row r="426" spans="7:14" s="56" customFormat="1" x14ac:dyDescent="0.25">
      <c r="G426" s="257"/>
      <c r="H426" s="257"/>
      <c r="I426" s="257"/>
      <c r="J426" s="257"/>
      <c r="K426" s="270"/>
      <c r="L426" s="257"/>
      <c r="M426" s="257"/>
      <c r="N426" s="257"/>
    </row>
    <row r="427" spans="7:14" s="56" customFormat="1" x14ac:dyDescent="0.25">
      <c r="G427" s="257"/>
      <c r="H427" s="257"/>
      <c r="I427" s="257"/>
      <c r="J427" s="257"/>
      <c r="K427" s="270"/>
      <c r="L427" s="257"/>
      <c r="M427" s="257"/>
      <c r="N427" s="257"/>
    </row>
    <row r="428" spans="7:14" s="56" customFormat="1" x14ac:dyDescent="0.25">
      <c r="G428" s="257"/>
      <c r="H428" s="257"/>
      <c r="I428" s="257"/>
      <c r="J428" s="257"/>
      <c r="K428" s="270"/>
      <c r="L428" s="257"/>
      <c r="M428" s="257"/>
      <c r="N428" s="257"/>
    </row>
    <row r="429" spans="7:14" s="56" customFormat="1" x14ac:dyDescent="0.25">
      <c r="G429" s="257"/>
      <c r="H429" s="257"/>
      <c r="I429" s="257"/>
      <c r="J429" s="257"/>
      <c r="K429" s="270"/>
      <c r="L429" s="257"/>
      <c r="M429" s="257"/>
      <c r="N429" s="257"/>
    </row>
    <row r="430" spans="7:14" s="56" customFormat="1" x14ac:dyDescent="0.25">
      <c r="G430" s="257"/>
      <c r="H430" s="257"/>
      <c r="I430" s="257"/>
      <c r="J430" s="257"/>
      <c r="K430" s="270"/>
      <c r="L430" s="257"/>
      <c r="M430" s="257"/>
      <c r="N430" s="257"/>
    </row>
    <row r="431" spans="7:14" s="56" customFormat="1" x14ac:dyDescent="0.25">
      <c r="G431" s="257"/>
      <c r="H431" s="257"/>
      <c r="I431" s="257"/>
      <c r="J431" s="257"/>
      <c r="K431" s="270"/>
      <c r="L431" s="257"/>
      <c r="M431" s="257"/>
      <c r="N431" s="257"/>
    </row>
    <row r="432" spans="7:14" s="56" customFormat="1" x14ac:dyDescent="0.25">
      <c r="G432" s="257"/>
      <c r="H432" s="257"/>
      <c r="I432" s="257"/>
      <c r="J432" s="257"/>
      <c r="K432" s="270"/>
      <c r="L432" s="257"/>
      <c r="M432" s="257"/>
      <c r="N432" s="257"/>
    </row>
    <row r="433" spans="7:14" s="56" customFormat="1" x14ac:dyDescent="0.25">
      <c r="G433" s="257"/>
      <c r="H433" s="257"/>
      <c r="I433" s="257"/>
      <c r="J433" s="257"/>
      <c r="K433" s="270"/>
      <c r="L433" s="257"/>
      <c r="M433" s="257"/>
      <c r="N433" s="257"/>
    </row>
    <row r="434" spans="7:14" s="56" customFormat="1" x14ac:dyDescent="0.25">
      <c r="G434" s="257"/>
      <c r="H434" s="257"/>
      <c r="I434" s="257"/>
      <c r="J434" s="257"/>
      <c r="K434" s="270"/>
      <c r="L434" s="257"/>
      <c r="M434" s="257"/>
      <c r="N434" s="257"/>
    </row>
    <row r="435" spans="7:14" s="56" customFormat="1" x14ac:dyDescent="0.25">
      <c r="G435" s="257"/>
      <c r="H435" s="257"/>
      <c r="I435" s="257"/>
      <c r="J435" s="257"/>
      <c r="K435" s="270"/>
      <c r="L435" s="257"/>
      <c r="M435" s="257"/>
      <c r="N435" s="257"/>
    </row>
    <row r="436" spans="7:14" s="56" customFormat="1" x14ac:dyDescent="0.25">
      <c r="G436" s="257"/>
      <c r="H436" s="257"/>
      <c r="I436" s="257"/>
      <c r="J436" s="257"/>
      <c r="K436" s="270"/>
      <c r="L436" s="257"/>
      <c r="M436" s="257"/>
      <c r="N436" s="257"/>
    </row>
    <row r="437" spans="7:14" s="56" customFormat="1" x14ac:dyDescent="0.25">
      <c r="G437" s="257"/>
      <c r="H437" s="257"/>
      <c r="I437" s="257"/>
      <c r="J437" s="257"/>
      <c r="K437" s="270"/>
      <c r="L437" s="257"/>
      <c r="M437" s="257"/>
      <c r="N437" s="257"/>
    </row>
    <row r="438" spans="7:14" s="56" customFormat="1" x14ac:dyDescent="0.25">
      <c r="G438" s="257"/>
      <c r="H438" s="257"/>
      <c r="I438" s="257"/>
      <c r="J438" s="257"/>
      <c r="K438" s="270"/>
      <c r="L438" s="257"/>
      <c r="M438" s="257"/>
      <c r="N438" s="257"/>
    </row>
    <row r="439" spans="7:14" s="56" customFormat="1" x14ac:dyDescent="0.25">
      <c r="G439" s="257"/>
      <c r="H439" s="257"/>
      <c r="I439" s="257"/>
      <c r="J439" s="257"/>
      <c r="K439" s="270"/>
      <c r="L439" s="257"/>
      <c r="M439" s="257"/>
      <c r="N439" s="257"/>
    </row>
    <row r="440" spans="7:14" s="56" customFormat="1" x14ac:dyDescent="0.25">
      <c r="G440" s="257"/>
      <c r="H440" s="257"/>
      <c r="I440" s="257"/>
      <c r="J440" s="257"/>
      <c r="K440" s="270"/>
      <c r="L440" s="257"/>
      <c r="M440" s="257"/>
      <c r="N440" s="257"/>
    </row>
    <row r="441" spans="7:14" s="56" customFormat="1" x14ac:dyDescent="0.25">
      <c r="G441" s="257"/>
      <c r="H441" s="257"/>
      <c r="I441" s="257"/>
      <c r="J441" s="257"/>
      <c r="K441" s="270"/>
      <c r="L441" s="257"/>
      <c r="M441" s="257"/>
      <c r="N441" s="257"/>
    </row>
    <row r="442" spans="7:14" s="56" customFormat="1" x14ac:dyDescent="0.25">
      <c r="G442" s="257"/>
      <c r="H442" s="257"/>
      <c r="I442" s="257"/>
      <c r="J442" s="257"/>
      <c r="K442" s="270"/>
      <c r="L442" s="257"/>
      <c r="M442" s="257"/>
      <c r="N442" s="257"/>
    </row>
    <row r="443" spans="7:14" s="56" customFormat="1" x14ac:dyDescent="0.25">
      <c r="G443" s="257"/>
      <c r="H443" s="257"/>
      <c r="I443" s="257"/>
      <c r="J443" s="257"/>
      <c r="K443" s="270"/>
      <c r="L443" s="257"/>
      <c r="M443" s="257"/>
      <c r="N443" s="257"/>
    </row>
    <row r="444" spans="7:14" s="56" customFormat="1" x14ac:dyDescent="0.25">
      <c r="G444" s="257"/>
      <c r="H444" s="257"/>
      <c r="I444" s="257"/>
      <c r="J444" s="257"/>
      <c r="K444" s="270"/>
      <c r="L444" s="257"/>
      <c r="M444" s="257"/>
      <c r="N444" s="257"/>
    </row>
    <row r="445" spans="7:14" s="56" customFormat="1" x14ac:dyDescent="0.25">
      <c r="G445" s="257"/>
      <c r="H445" s="257"/>
      <c r="I445" s="257"/>
      <c r="J445" s="257"/>
      <c r="K445" s="270"/>
      <c r="L445" s="257"/>
      <c r="M445" s="257"/>
      <c r="N445" s="257"/>
    </row>
    <row r="446" spans="7:14" s="56" customFormat="1" x14ac:dyDescent="0.25">
      <c r="G446" s="257"/>
      <c r="H446" s="257"/>
      <c r="I446" s="257"/>
      <c r="J446" s="257"/>
      <c r="K446" s="270"/>
      <c r="L446" s="257"/>
      <c r="M446" s="257"/>
      <c r="N446" s="257"/>
    </row>
    <row r="447" spans="7:14" s="56" customFormat="1" x14ac:dyDescent="0.25">
      <c r="G447" s="257"/>
      <c r="H447" s="257"/>
      <c r="I447" s="257"/>
      <c r="J447" s="257"/>
      <c r="K447" s="270"/>
      <c r="L447" s="257"/>
      <c r="M447" s="257"/>
      <c r="N447" s="257"/>
    </row>
    <row r="448" spans="7:14" s="56" customFormat="1" x14ac:dyDescent="0.25">
      <c r="G448" s="257"/>
      <c r="H448" s="257"/>
      <c r="I448" s="257"/>
      <c r="J448" s="257"/>
      <c r="K448" s="270"/>
      <c r="L448" s="257"/>
      <c r="M448" s="257"/>
      <c r="N448" s="257"/>
    </row>
    <row r="449" spans="7:14" s="56" customFormat="1" x14ac:dyDescent="0.25">
      <c r="G449" s="257"/>
      <c r="H449" s="257"/>
      <c r="I449" s="257"/>
      <c r="J449" s="257"/>
      <c r="K449" s="270"/>
      <c r="L449" s="257"/>
      <c r="M449" s="257"/>
      <c r="N449" s="257"/>
    </row>
    <row r="450" spans="7:14" s="56" customFormat="1" x14ac:dyDescent="0.25">
      <c r="G450" s="257"/>
      <c r="H450" s="257"/>
      <c r="I450" s="257"/>
      <c r="J450" s="257"/>
      <c r="K450" s="270"/>
      <c r="L450" s="257"/>
      <c r="M450" s="257"/>
      <c r="N450" s="257"/>
    </row>
    <row r="451" spans="7:14" s="56" customFormat="1" x14ac:dyDescent="0.25">
      <c r="G451" s="257"/>
      <c r="H451" s="257"/>
      <c r="I451" s="257"/>
      <c r="J451" s="257"/>
      <c r="K451" s="270"/>
      <c r="L451" s="257"/>
      <c r="M451" s="257"/>
      <c r="N451" s="257"/>
    </row>
    <row r="452" spans="7:14" s="56" customFormat="1" x14ac:dyDescent="0.25">
      <c r="G452" s="257"/>
      <c r="H452" s="257"/>
      <c r="I452" s="257"/>
      <c r="J452" s="257"/>
      <c r="K452" s="270"/>
      <c r="L452" s="257"/>
      <c r="M452" s="257"/>
      <c r="N452" s="257"/>
    </row>
    <row r="453" spans="7:14" s="56" customFormat="1" x14ac:dyDescent="0.25">
      <c r="G453" s="257"/>
      <c r="H453" s="257"/>
      <c r="I453" s="257"/>
      <c r="J453" s="257"/>
      <c r="K453" s="270"/>
      <c r="L453" s="257"/>
      <c r="M453" s="257"/>
      <c r="N453" s="257"/>
    </row>
    <row r="454" spans="7:14" s="56" customFormat="1" x14ac:dyDescent="0.25">
      <c r="G454" s="257"/>
      <c r="H454" s="257"/>
      <c r="I454" s="257"/>
      <c r="J454" s="257"/>
      <c r="K454" s="270"/>
      <c r="L454" s="257"/>
      <c r="M454" s="257"/>
      <c r="N454" s="257"/>
    </row>
    <row r="455" spans="7:14" s="56" customFormat="1" x14ac:dyDescent="0.25">
      <c r="G455" s="257"/>
      <c r="H455" s="257"/>
      <c r="I455" s="257"/>
      <c r="J455" s="257"/>
      <c r="K455" s="270"/>
      <c r="L455" s="257"/>
      <c r="M455" s="257"/>
      <c r="N455" s="257"/>
    </row>
    <row r="456" spans="7:14" s="56" customFormat="1" x14ac:dyDescent="0.25">
      <c r="G456" s="257"/>
      <c r="H456" s="257"/>
      <c r="I456" s="257"/>
      <c r="J456" s="257"/>
      <c r="K456" s="270"/>
      <c r="L456" s="257"/>
      <c r="M456" s="257"/>
      <c r="N456" s="257"/>
    </row>
    <row r="457" spans="7:14" s="56" customFormat="1" x14ac:dyDescent="0.25">
      <c r="G457" s="257"/>
      <c r="H457" s="257"/>
      <c r="I457" s="257"/>
      <c r="J457" s="257"/>
      <c r="K457" s="270"/>
      <c r="L457" s="257"/>
      <c r="M457" s="257"/>
      <c r="N457" s="257"/>
    </row>
    <row r="458" spans="7:14" s="56" customFormat="1" x14ac:dyDescent="0.25">
      <c r="G458" s="257"/>
      <c r="H458" s="257"/>
      <c r="I458" s="257"/>
      <c r="J458" s="257"/>
      <c r="K458" s="270"/>
      <c r="L458" s="257"/>
      <c r="M458" s="257"/>
      <c r="N458" s="257"/>
    </row>
    <row r="459" spans="7:14" s="56" customFormat="1" x14ac:dyDescent="0.25">
      <c r="G459" s="257"/>
      <c r="H459" s="257"/>
      <c r="I459" s="257"/>
      <c r="J459" s="257"/>
      <c r="K459" s="270"/>
      <c r="L459" s="257"/>
      <c r="M459" s="257"/>
      <c r="N459" s="257"/>
    </row>
    <row r="460" spans="7:14" s="56" customFormat="1" x14ac:dyDescent="0.25">
      <c r="G460" s="257"/>
      <c r="H460" s="257"/>
      <c r="I460" s="257"/>
      <c r="J460" s="257"/>
      <c r="K460" s="270"/>
      <c r="L460" s="257"/>
      <c r="M460" s="257"/>
      <c r="N460" s="257"/>
    </row>
    <row r="461" spans="7:14" s="56" customFormat="1" x14ac:dyDescent="0.25">
      <c r="G461" s="257"/>
      <c r="H461" s="257"/>
      <c r="I461" s="257"/>
      <c r="J461" s="257"/>
      <c r="K461" s="270"/>
      <c r="L461" s="257"/>
      <c r="M461" s="257"/>
      <c r="N461" s="257"/>
    </row>
    <row r="462" spans="7:14" s="56" customFormat="1" x14ac:dyDescent="0.25">
      <c r="G462" s="257"/>
      <c r="H462" s="257"/>
      <c r="I462" s="257"/>
      <c r="J462" s="257"/>
      <c r="K462" s="270"/>
      <c r="L462" s="257"/>
      <c r="M462" s="257"/>
      <c r="N462" s="257"/>
    </row>
    <row r="463" spans="7:14" s="56" customFormat="1" x14ac:dyDescent="0.25">
      <c r="G463" s="257"/>
      <c r="H463" s="257"/>
      <c r="I463" s="257"/>
      <c r="J463" s="257"/>
      <c r="K463" s="270"/>
      <c r="L463" s="257"/>
      <c r="M463" s="257"/>
      <c r="N463" s="257"/>
    </row>
    <row r="464" spans="7:14" s="56" customFormat="1" x14ac:dyDescent="0.25">
      <c r="G464" s="257"/>
      <c r="H464" s="257"/>
      <c r="I464" s="257"/>
      <c r="J464" s="257"/>
      <c r="K464" s="270"/>
      <c r="L464" s="257"/>
      <c r="M464" s="257"/>
      <c r="N464" s="257"/>
    </row>
    <row r="465" spans="7:14" s="56" customFormat="1" x14ac:dyDescent="0.25">
      <c r="G465" s="257"/>
      <c r="H465" s="257"/>
      <c r="I465" s="257"/>
      <c r="J465" s="257"/>
      <c r="K465" s="270"/>
      <c r="L465" s="257"/>
      <c r="M465" s="257"/>
      <c r="N465" s="257"/>
    </row>
    <row r="466" spans="7:14" s="56" customFormat="1" x14ac:dyDescent="0.25">
      <c r="G466" s="257"/>
      <c r="H466" s="257"/>
      <c r="I466" s="257"/>
      <c r="J466" s="257"/>
      <c r="K466" s="270"/>
      <c r="L466" s="257"/>
      <c r="M466" s="257"/>
      <c r="N466" s="257"/>
    </row>
    <row r="467" spans="7:14" s="56" customFormat="1" x14ac:dyDescent="0.25">
      <c r="G467" s="257"/>
      <c r="H467" s="257"/>
      <c r="I467" s="257"/>
      <c r="J467" s="257"/>
      <c r="K467" s="270"/>
      <c r="L467" s="257"/>
      <c r="M467" s="257"/>
      <c r="N467" s="257"/>
    </row>
    <row r="468" spans="7:14" s="56" customFormat="1" x14ac:dyDescent="0.25">
      <c r="G468" s="257"/>
      <c r="H468" s="257"/>
      <c r="I468" s="257"/>
      <c r="J468" s="257"/>
      <c r="K468" s="270"/>
      <c r="L468" s="257"/>
      <c r="M468" s="257"/>
      <c r="N468" s="257"/>
    </row>
    <row r="469" spans="7:14" s="56" customFormat="1" x14ac:dyDescent="0.25">
      <c r="G469" s="257"/>
      <c r="H469" s="257"/>
      <c r="I469" s="257"/>
      <c r="J469" s="257"/>
      <c r="K469" s="270"/>
      <c r="L469" s="257"/>
      <c r="M469" s="257"/>
      <c r="N469" s="257"/>
    </row>
    <row r="470" spans="7:14" s="56" customFormat="1" x14ac:dyDescent="0.25">
      <c r="G470" s="257"/>
      <c r="H470" s="257"/>
      <c r="I470" s="257"/>
      <c r="J470" s="257"/>
      <c r="K470" s="270"/>
      <c r="L470" s="257"/>
      <c r="M470" s="257"/>
      <c r="N470" s="257"/>
    </row>
    <row r="471" spans="7:14" s="56" customFormat="1" x14ac:dyDescent="0.25">
      <c r="G471" s="257"/>
      <c r="H471" s="257"/>
      <c r="I471" s="257"/>
      <c r="J471" s="257"/>
      <c r="K471" s="270"/>
      <c r="L471" s="257"/>
      <c r="M471" s="257"/>
      <c r="N471" s="257"/>
    </row>
    <row r="472" spans="7:14" s="56" customFormat="1" x14ac:dyDescent="0.25">
      <c r="G472" s="257"/>
      <c r="H472" s="257"/>
      <c r="I472" s="257"/>
      <c r="J472" s="257"/>
      <c r="K472" s="270"/>
      <c r="L472" s="257"/>
      <c r="M472" s="257"/>
      <c r="N472" s="257"/>
    </row>
    <row r="473" spans="7:14" s="56" customFormat="1" x14ac:dyDescent="0.25">
      <c r="G473" s="257"/>
      <c r="H473" s="257"/>
      <c r="I473" s="257"/>
      <c r="J473" s="257"/>
      <c r="K473" s="270"/>
      <c r="L473" s="257"/>
      <c r="M473" s="257"/>
      <c r="N473" s="257"/>
    </row>
    <row r="474" spans="7:14" s="56" customFormat="1" x14ac:dyDescent="0.25">
      <c r="G474" s="257"/>
      <c r="H474" s="257"/>
      <c r="I474" s="257"/>
      <c r="J474" s="257"/>
      <c r="K474" s="270"/>
      <c r="L474" s="257"/>
      <c r="M474" s="257"/>
      <c r="N474" s="257"/>
    </row>
    <row r="475" spans="7:14" s="56" customFormat="1" x14ac:dyDescent="0.25">
      <c r="G475" s="257"/>
      <c r="H475" s="257"/>
      <c r="I475" s="257"/>
      <c r="J475" s="257"/>
      <c r="K475" s="270"/>
      <c r="L475" s="257"/>
      <c r="M475" s="257"/>
      <c r="N475" s="257"/>
    </row>
    <row r="476" spans="7:14" s="56" customFormat="1" x14ac:dyDescent="0.25">
      <c r="G476" s="257"/>
      <c r="H476" s="257"/>
      <c r="I476" s="257"/>
      <c r="J476" s="257"/>
      <c r="K476" s="270"/>
      <c r="L476" s="257"/>
      <c r="M476" s="257"/>
      <c r="N476" s="257"/>
    </row>
    <row r="477" spans="7:14" s="56" customFormat="1" x14ac:dyDescent="0.25">
      <c r="G477" s="257"/>
      <c r="H477" s="257"/>
      <c r="I477" s="257"/>
      <c r="J477" s="257"/>
      <c r="K477" s="270"/>
      <c r="L477" s="257"/>
      <c r="M477" s="257"/>
      <c r="N477" s="257"/>
    </row>
    <row r="478" spans="7:14" s="56" customFormat="1" x14ac:dyDescent="0.25">
      <c r="G478" s="257"/>
      <c r="H478" s="257"/>
      <c r="I478" s="257"/>
      <c r="J478" s="257"/>
      <c r="K478" s="270"/>
      <c r="L478" s="257"/>
      <c r="M478" s="257"/>
      <c r="N478" s="257"/>
    </row>
    <row r="479" spans="7:14" s="56" customFormat="1" x14ac:dyDescent="0.25">
      <c r="G479" s="257"/>
      <c r="H479" s="257"/>
      <c r="I479" s="257"/>
      <c r="J479" s="257"/>
      <c r="K479" s="270"/>
      <c r="L479" s="257"/>
      <c r="M479" s="257"/>
      <c r="N479" s="257"/>
    </row>
    <row r="480" spans="7:14" s="56" customFormat="1" x14ac:dyDescent="0.25">
      <c r="G480" s="257"/>
      <c r="H480" s="257"/>
      <c r="I480" s="257"/>
      <c r="J480" s="257"/>
      <c r="K480" s="270"/>
      <c r="L480" s="257"/>
      <c r="M480" s="257"/>
      <c r="N480" s="257"/>
    </row>
    <row r="481" spans="7:14" s="56" customFormat="1" x14ac:dyDescent="0.25">
      <c r="G481" s="257"/>
      <c r="H481" s="257"/>
      <c r="I481" s="257"/>
      <c r="J481" s="257"/>
      <c r="K481" s="270"/>
      <c r="L481" s="257"/>
      <c r="M481" s="257"/>
      <c r="N481" s="257"/>
    </row>
    <row r="482" spans="7:14" s="56" customFormat="1" x14ac:dyDescent="0.25">
      <c r="G482" s="257"/>
      <c r="H482" s="257"/>
      <c r="I482" s="257"/>
      <c r="J482" s="257"/>
      <c r="K482" s="270"/>
      <c r="L482" s="257"/>
      <c r="M482" s="257"/>
      <c r="N482" s="257"/>
    </row>
    <row r="483" spans="7:14" s="56" customFormat="1" x14ac:dyDescent="0.25">
      <c r="G483" s="257"/>
      <c r="H483" s="257"/>
      <c r="I483" s="257"/>
      <c r="J483" s="257"/>
      <c r="K483" s="270"/>
      <c r="L483" s="257"/>
      <c r="M483" s="257"/>
      <c r="N483" s="257"/>
    </row>
    <row r="484" spans="7:14" s="56" customFormat="1" x14ac:dyDescent="0.25">
      <c r="G484" s="257"/>
      <c r="H484" s="257"/>
      <c r="I484" s="257"/>
      <c r="J484" s="257"/>
      <c r="K484" s="270"/>
      <c r="L484" s="257"/>
      <c r="M484" s="257"/>
      <c r="N484" s="257"/>
    </row>
    <row r="485" spans="7:14" s="56" customFormat="1" x14ac:dyDescent="0.25">
      <c r="G485" s="257"/>
      <c r="H485" s="257"/>
      <c r="I485" s="257"/>
      <c r="J485" s="257"/>
      <c r="K485" s="270"/>
      <c r="L485" s="257"/>
      <c r="M485" s="257"/>
      <c r="N485" s="257"/>
    </row>
    <row r="486" spans="7:14" s="56" customFormat="1" x14ac:dyDescent="0.25">
      <c r="G486" s="257"/>
      <c r="H486" s="257"/>
      <c r="I486" s="257"/>
      <c r="J486" s="257"/>
      <c r="K486" s="270"/>
      <c r="L486" s="257"/>
      <c r="M486" s="257"/>
      <c r="N486" s="257"/>
    </row>
    <row r="487" spans="7:14" s="56" customFormat="1" x14ac:dyDescent="0.25">
      <c r="G487" s="257"/>
      <c r="H487" s="257"/>
      <c r="I487" s="257"/>
      <c r="J487" s="257"/>
      <c r="K487" s="270"/>
      <c r="L487" s="257"/>
      <c r="M487" s="257"/>
      <c r="N487" s="257"/>
    </row>
    <row r="488" spans="7:14" s="56" customFormat="1" x14ac:dyDescent="0.25">
      <c r="G488" s="257"/>
      <c r="H488" s="257"/>
      <c r="I488" s="257"/>
      <c r="J488" s="257"/>
      <c r="K488" s="270"/>
      <c r="L488" s="257"/>
      <c r="M488" s="257"/>
      <c r="N488" s="257"/>
    </row>
    <row r="489" spans="7:14" s="56" customFormat="1" x14ac:dyDescent="0.25">
      <c r="G489" s="257"/>
      <c r="H489" s="257"/>
      <c r="I489" s="257"/>
      <c r="J489" s="257"/>
      <c r="K489" s="270"/>
      <c r="L489" s="257"/>
      <c r="M489" s="257"/>
      <c r="N489" s="257"/>
    </row>
    <row r="490" spans="7:14" s="56" customFormat="1" x14ac:dyDescent="0.25">
      <c r="G490" s="257"/>
      <c r="H490" s="257"/>
      <c r="I490" s="257"/>
      <c r="J490" s="257"/>
      <c r="K490" s="270"/>
      <c r="L490" s="257"/>
      <c r="M490" s="257"/>
      <c r="N490" s="257"/>
    </row>
    <row r="491" spans="7:14" s="56" customFormat="1" x14ac:dyDescent="0.25">
      <c r="G491" s="257"/>
      <c r="H491" s="257"/>
      <c r="I491" s="257"/>
      <c r="J491" s="257"/>
      <c r="K491" s="270"/>
      <c r="L491" s="257"/>
      <c r="M491" s="257"/>
      <c r="N491" s="257"/>
    </row>
    <row r="492" spans="7:14" s="56" customFormat="1" x14ac:dyDescent="0.25">
      <c r="G492" s="257"/>
      <c r="H492" s="257"/>
      <c r="I492" s="257"/>
      <c r="J492" s="257"/>
      <c r="K492" s="270"/>
      <c r="L492" s="257"/>
      <c r="M492" s="257"/>
      <c r="N492" s="257"/>
    </row>
    <row r="493" spans="7:14" s="56" customFormat="1" x14ac:dyDescent="0.25">
      <c r="G493" s="257"/>
      <c r="H493" s="257"/>
      <c r="I493" s="257"/>
      <c r="J493" s="257"/>
      <c r="K493" s="270"/>
      <c r="L493" s="257"/>
      <c r="M493" s="257"/>
      <c r="N493" s="257"/>
    </row>
    <row r="494" spans="7:14" s="56" customFormat="1" x14ac:dyDescent="0.25">
      <c r="G494" s="257"/>
      <c r="H494" s="257"/>
      <c r="I494" s="257"/>
      <c r="J494" s="257"/>
      <c r="K494" s="270"/>
      <c r="L494" s="257"/>
      <c r="M494" s="257"/>
      <c r="N494" s="257"/>
    </row>
    <row r="495" spans="7:14" s="56" customFormat="1" x14ac:dyDescent="0.25">
      <c r="G495" s="257"/>
      <c r="H495" s="257"/>
      <c r="I495" s="257"/>
      <c r="J495" s="257"/>
      <c r="K495" s="270"/>
      <c r="L495" s="257"/>
      <c r="M495" s="257"/>
      <c r="N495" s="257"/>
    </row>
    <row r="496" spans="7:14" s="56" customFormat="1" x14ac:dyDescent="0.25">
      <c r="G496" s="257"/>
      <c r="H496" s="257"/>
      <c r="I496" s="257"/>
      <c r="J496" s="257"/>
      <c r="K496" s="270"/>
      <c r="L496" s="257"/>
      <c r="M496" s="257"/>
      <c r="N496" s="257"/>
    </row>
    <row r="497" spans="2:14" s="56" customFormat="1" x14ac:dyDescent="0.25">
      <c r="G497" s="257"/>
      <c r="H497" s="257"/>
      <c r="I497" s="257"/>
      <c r="J497" s="257"/>
      <c r="K497" s="270"/>
      <c r="L497" s="257"/>
      <c r="M497" s="257"/>
      <c r="N497" s="257"/>
    </row>
    <row r="498" spans="2:14" s="56" customFormat="1" x14ac:dyDescent="0.25">
      <c r="G498" s="257"/>
      <c r="H498" s="257"/>
      <c r="I498" s="257"/>
      <c r="J498" s="257"/>
      <c r="K498" s="270"/>
      <c r="L498" s="257"/>
      <c r="M498" s="257"/>
      <c r="N498" s="257"/>
    </row>
    <row r="499" spans="2:14" s="56" customFormat="1" x14ac:dyDescent="0.25">
      <c r="B499"/>
      <c r="C499"/>
      <c r="D499"/>
      <c r="E499"/>
      <c r="F499"/>
      <c r="G499" s="257"/>
      <c r="H499" s="257"/>
      <c r="I499" s="257"/>
      <c r="J499" s="257"/>
      <c r="K499" s="270"/>
      <c r="L499" s="257"/>
      <c r="M499" s="257"/>
      <c r="N499" s="257"/>
    </row>
  </sheetData>
  <mergeCells count="5">
    <mergeCell ref="H6:N6"/>
    <mergeCell ref="J5:K5"/>
    <mergeCell ref="G2:P2"/>
    <mergeCell ref="G3:P3"/>
    <mergeCell ref="G4:P4"/>
  </mergeCells>
  <dataValidations count="1">
    <dataValidation type="list" allowBlank="1" showInputMessage="1" showErrorMessage="1" sqref="N8:N335">
      <formula1>$S$2:$S$4</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PPNE2!$C$12:$C$138</xm:f>
          </x14:formula1>
          <xm:sqref>G8:G335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F15" sqref="F15"/>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515" t="e">
        <f>+#REF!</f>
        <v>#REF!</v>
      </c>
      <c r="B1" s="516"/>
      <c r="C1" s="516"/>
      <c r="D1" s="516"/>
      <c r="E1" s="516"/>
      <c r="F1" s="516"/>
      <c r="G1" s="516"/>
    </row>
    <row r="2" spans="1:7" ht="15.75" x14ac:dyDescent="0.25">
      <c r="A2" s="517" t="e">
        <f>+#REF!</f>
        <v>#REF!</v>
      </c>
      <c r="B2" s="518"/>
      <c r="C2" s="518"/>
      <c r="D2" s="518"/>
      <c r="E2" s="518"/>
      <c r="F2" s="518"/>
      <c r="G2" s="518"/>
    </row>
    <row r="3" spans="1:7" x14ac:dyDescent="0.25">
      <c r="A3" s="519" t="e">
        <f>+#REF!</f>
        <v>#REF!</v>
      </c>
      <c r="B3" s="520"/>
      <c r="C3" s="520"/>
      <c r="D3" s="520"/>
      <c r="E3" s="520"/>
      <c r="F3" s="520"/>
      <c r="G3" s="520"/>
    </row>
    <row r="4" spans="1:7" ht="12.75" x14ac:dyDescent="0.2">
      <c r="A4" s="521" t="s">
        <v>551</v>
      </c>
      <c r="B4" s="522"/>
      <c r="C4" s="522"/>
      <c r="D4" s="522"/>
      <c r="E4" s="522"/>
      <c r="F4" s="522"/>
      <c r="G4" s="522"/>
    </row>
    <row r="5" spans="1:7" ht="12.75" x14ac:dyDescent="0.2">
      <c r="A5" s="521" t="e">
        <f>+#REF!</f>
        <v>#REF!</v>
      </c>
      <c r="B5" s="522"/>
      <c r="C5" s="522"/>
      <c r="D5" s="522"/>
      <c r="E5" s="522"/>
      <c r="F5" s="522"/>
      <c r="G5" s="522"/>
    </row>
    <row r="6" spans="1:7" ht="12.75" x14ac:dyDescent="0.2">
      <c r="A6" s="15" t="s">
        <v>15</v>
      </c>
      <c r="B6" s="5"/>
      <c r="C6" s="5"/>
      <c r="D6" s="5"/>
      <c r="E6" s="523" t="e">
        <f>+#REF!</f>
        <v>#REF!</v>
      </c>
      <c r="F6" s="523"/>
      <c r="G6" s="523"/>
    </row>
    <row r="7" spans="1:7" ht="12.75" x14ac:dyDescent="0.2">
      <c r="A7" s="18" t="s">
        <v>72</v>
      </c>
      <c r="B7" s="19"/>
      <c r="C7" s="19"/>
      <c r="D7" s="16"/>
      <c r="E7" s="514" t="e">
        <f>+#REF!</f>
        <v>#REF!</v>
      </c>
      <c r="F7" s="514"/>
      <c r="G7" s="514"/>
    </row>
    <row r="8" spans="1:7" ht="48" customHeight="1" x14ac:dyDescent="0.2">
      <c r="A8" s="281" t="s">
        <v>552</v>
      </c>
      <c r="B8" s="281" t="s">
        <v>553</v>
      </c>
      <c r="C8" s="281" t="s">
        <v>554</v>
      </c>
      <c r="D8" s="281" t="s">
        <v>555</v>
      </c>
      <c r="E8" s="282" t="s">
        <v>556</v>
      </c>
      <c r="F8" s="301" t="s">
        <v>557</v>
      </c>
      <c r="G8" s="301" t="s">
        <v>558</v>
      </c>
    </row>
    <row r="9" spans="1:7" ht="12.75" x14ac:dyDescent="0.2">
      <c r="A9" s="283">
        <v>3</v>
      </c>
      <c r="B9" s="284"/>
      <c r="C9" s="284"/>
      <c r="D9" s="284"/>
      <c r="E9" s="285" t="s">
        <v>510</v>
      </c>
      <c r="F9" s="302">
        <f>+F10</f>
        <v>0</v>
      </c>
      <c r="G9" s="303">
        <f>G10</f>
        <v>0</v>
      </c>
    </row>
    <row r="10" spans="1:7" ht="12.75" x14ac:dyDescent="0.2">
      <c r="A10" s="286"/>
      <c r="B10" s="286">
        <v>31</v>
      </c>
      <c r="C10" s="287"/>
      <c r="D10" s="287"/>
      <c r="E10" s="288" t="s">
        <v>559</v>
      </c>
      <c r="F10" s="304">
        <f>SUM(F11:F11)</f>
        <v>0</v>
      </c>
      <c r="G10" s="305">
        <f>G11</f>
        <v>0</v>
      </c>
    </row>
    <row r="11" spans="1:7" ht="12.75" x14ac:dyDescent="0.2">
      <c r="A11" s="289"/>
      <c r="B11" s="289"/>
      <c r="C11" s="289">
        <v>312</v>
      </c>
      <c r="D11" s="290"/>
      <c r="E11" s="291" t="s">
        <v>560</v>
      </c>
      <c r="F11" s="306">
        <v>0</v>
      </c>
      <c r="G11" s="307">
        <f>IFERROR(F11/$F$31*100,"0.00")</f>
        <v>0</v>
      </c>
    </row>
    <row r="12" spans="1:7" ht="12.75" x14ac:dyDescent="0.2">
      <c r="A12" s="292">
        <v>4</v>
      </c>
      <c r="B12" s="293"/>
      <c r="C12" s="293"/>
      <c r="D12" s="293"/>
      <c r="E12" s="294" t="s">
        <v>561</v>
      </c>
      <c r="F12" s="308">
        <f>+F13+F19</f>
        <v>429582148.25999999</v>
      </c>
      <c r="G12" s="308">
        <f>G13+G19</f>
        <v>91.516402482019117</v>
      </c>
    </row>
    <row r="13" spans="1:7" ht="12.75" x14ac:dyDescent="0.2">
      <c r="A13" s="286"/>
      <c r="B13" s="286">
        <v>41</v>
      </c>
      <c r="C13" s="1"/>
      <c r="D13" s="287"/>
      <c r="E13" s="295" t="s">
        <v>562</v>
      </c>
      <c r="F13" s="304">
        <f>SUM(F15:F18)</f>
        <v>429582148.25999999</v>
      </c>
      <c r="G13" s="309">
        <f>SUM(G15:G18)</f>
        <v>91.516402482019117</v>
      </c>
    </row>
    <row r="14" spans="1:7" ht="24" x14ac:dyDescent="0.2">
      <c r="A14" s="286"/>
      <c r="B14" s="286"/>
      <c r="C14" s="286">
        <v>413</v>
      </c>
      <c r="D14" s="287"/>
      <c r="E14" s="295" t="s">
        <v>563</v>
      </c>
      <c r="F14" s="304">
        <f>SUM(F16:F19)</f>
        <v>17000000</v>
      </c>
      <c r="G14" s="309">
        <f>SUM(G16:G19)</f>
        <v>3.6216096234350661</v>
      </c>
    </row>
    <row r="15" spans="1:7" ht="12.75" x14ac:dyDescent="0.2">
      <c r="A15" s="289"/>
      <c r="B15" s="289"/>
      <c r="C15" s="289">
        <v>413</v>
      </c>
      <c r="D15" s="290" t="s">
        <v>564</v>
      </c>
      <c r="E15" s="291" t="s">
        <v>565</v>
      </c>
      <c r="F15" s="306">
        <v>412582148.25999999</v>
      </c>
      <c r="G15" s="307">
        <f>IFERROR(F15/$F$31*100,"0.00")</f>
        <v>87.894792858584054</v>
      </c>
    </row>
    <row r="16" spans="1:7" ht="12.75" x14ac:dyDescent="0.2">
      <c r="A16" s="289"/>
      <c r="B16" s="289"/>
      <c r="C16" s="289">
        <v>413</v>
      </c>
      <c r="D16" s="290" t="s">
        <v>566</v>
      </c>
      <c r="E16" s="291" t="s">
        <v>567</v>
      </c>
      <c r="F16" s="306">
        <v>17000000</v>
      </c>
      <c r="G16" s="307">
        <f>IFERROR(F16/$F$31*100,"0.00")</f>
        <v>3.6216096234350661</v>
      </c>
    </row>
    <row r="17" spans="1:7" ht="12.75" x14ac:dyDescent="0.2">
      <c r="A17" s="289"/>
      <c r="B17" s="289"/>
      <c r="C17" s="289">
        <v>413</v>
      </c>
      <c r="D17" s="290" t="s">
        <v>568</v>
      </c>
      <c r="E17" s="291" t="s">
        <v>569</v>
      </c>
      <c r="F17" s="306">
        <v>0</v>
      </c>
      <c r="G17" s="307">
        <f>IFERROR(F17/$F$31*100,"0.00")</f>
        <v>0</v>
      </c>
    </row>
    <row r="18" spans="1:7" ht="24" x14ac:dyDescent="0.2">
      <c r="A18" s="289"/>
      <c r="B18" s="289"/>
      <c r="C18" s="289">
        <v>414</v>
      </c>
      <c r="D18" s="290"/>
      <c r="E18" s="296" t="s">
        <v>570</v>
      </c>
      <c r="F18" s="306">
        <v>0</v>
      </c>
      <c r="G18" s="307">
        <f>IFERROR(F18/$F$31*100,"0.00")</f>
        <v>0</v>
      </c>
    </row>
    <row r="19" spans="1:7" ht="12.75" x14ac:dyDescent="0.2">
      <c r="A19" s="286"/>
      <c r="B19" s="286">
        <v>42</v>
      </c>
      <c r="C19" s="286"/>
      <c r="D19" s="287"/>
      <c r="E19" s="288" t="s">
        <v>571</v>
      </c>
      <c r="F19" s="304">
        <f>SUM(F21:F22)</f>
        <v>0</v>
      </c>
      <c r="G19" s="309">
        <f>G21+G22</f>
        <v>0</v>
      </c>
    </row>
    <row r="20" spans="1:7" ht="24" x14ac:dyDescent="0.2">
      <c r="A20" s="286"/>
      <c r="B20" s="286"/>
      <c r="C20" s="286">
        <v>423</v>
      </c>
      <c r="D20" s="287"/>
      <c r="E20" s="288" t="s">
        <v>572</v>
      </c>
      <c r="F20" s="304">
        <f>+F21+F22</f>
        <v>0</v>
      </c>
      <c r="G20" s="307">
        <f>+G21+G22</f>
        <v>0</v>
      </c>
    </row>
    <row r="21" spans="1:7" ht="12.75" x14ac:dyDescent="0.2">
      <c r="A21" s="289"/>
      <c r="B21" s="289"/>
      <c r="C21" s="289">
        <v>423</v>
      </c>
      <c r="D21" s="290" t="s">
        <v>564</v>
      </c>
      <c r="E21" s="291" t="s">
        <v>573</v>
      </c>
      <c r="F21" s="306">
        <v>0</v>
      </c>
      <c r="G21" s="307">
        <f>IFERROR(F21/$F$31*100,"0.00")</f>
        <v>0</v>
      </c>
    </row>
    <row r="22" spans="1:7" ht="12.75" x14ac:dyDescent="0.2">
      <c r="A22" s="289"/>
      <c r="B22" s="289"/>
      <c r="C22" s="289">
        <v>423</v>
      </c>
      <c r="D22" s="290" t="s">
        <v>566</v>
      </c>
      <c r="E22" s="291" t="s">
        <v>574</v>
      </c>
      <c r="F22" s="306">
        <v>0</v>
      </c>
      <c r="G22" s="307">
        <f>IFERROR(F22/$F$31*100,"0.00")</f>
        <v>0</v>
      </c>
    </row>
    <row r="23" spans="1:7" ht="12.75" x14ac:dyDescent="0.2">
      <c r="A23" s="292">
        <v>5</v>
      </c>
      <c r="B23" s="293"/>
      <c r="C23" s="293"/>
      <c r="D23" s="293"/>
      <c r="E23" s="294" t="s">
        <v>575</v>
      </c>
      <c r="F23" s="308">
        <f>+F24</f>
        <v>39822391.920000002</v>
      </c>
      <c r="G23" s="308">
        <f>G24</f>
        <v>8.4835975179808703</v>
      </c>
    </row>
    <row r="24" spans="1:7" ht="12.75" x14ac:dyDescent="0.2">
      <c r="A24" s="286"/>
      <c r="B24" s="286">
        <v>51</v>
      </c>
      <c r="C24" s="286"/>
      <c r="D24" s="287"/>
      <c r="E24" s="295" t="s">
        <v>576</v>
      </c>
      <c r="F24" s="304">
        <f>F25</f>
        <v>39822391.920000002</v>
      </c>
      <c r="G24" s="307">
        <f>G25</f>
        <v>8.4835975179808703</v>
      </c>
    </row>
    <row r="25" spans="1:7" ht="12.75" x14ac:dyDescent="0.2">
      <c r="A25" s="286"/>
      <c r="B25" s="286"/>
      <c r="C25" s="286">
        <v>512</v>
      </c>
      <c r="D25" s="287"/>
      <c r="E25" s="295" t="s">
        <v>577</v>
      </c>
      <c r="F25" s="304">
        <f>F26</f>
        <v>39822391.920000002</v>
      </c>
      <c r="G25" s="307">
        <f>G26</f>
        <v>8.4835975179808703</v>
      </c>
    </row>
    <row r="26" spans="1:7" ht="12.75" x14ac:dyDescent="0.2">
      <c r="A26" s="286"/>
      <c r="B26" s="286"/>
      <c r="C26" s="289">
        <v>512</v>
      </c>
      <c r="D26" s="297" t="s">
        <v>578</v>
      </c>
      <c r="E26" s="298" t="s">
        <v>579</v>
      </c>
      <c r="F26" s="310">
        <f>+F27+F28+F29+F30</f>
        <v>39822391.920000002</v>
      </c>
      <c r="G26" s="307">
        <f>+G27+G28+G29+G30</f>
        <v>8.4835975179808703</v>
      </c>
    </row>
    <row r="27" spans="1:7" ht="24" x14ac:dyDescent="0.2">
      <c r="A27" s="290"/>
      <c r="B27" s="289"/>
      <c r="C27" s="289">
        <v>513</v>
      </c>
      <c r="D27" s="290"/>
      <c r="E27" s="298" t="s">
        <v>580</v>
      </c>
      <c r="F27" s="306">
        <v>22861134.960000001</v>
      </c>
      <c r="G27" s="307">
        <f>IFERROR(F27/$F$31*100,"0.00")</f>
        <v>4.8702415513990482</v>
      </c>
    </row>
    <row r="28" spans="1:7" ht="24" x14ac:dyDescent="0.2">
      <c r="A28" s="290"/>
      <c r="B28" s="290"/>
      <c r="C28" s="289">
        <v>512</v>
      </c>
      <c r="D28" s="290"/>
      <c r="E28" s="298" t="s">
        <v>581</v>
      </c>
      <c r="F28" s="306">
        <v>7628850.3600000003</v>
      </c>
      <c r="G28" s="307">
        <f>IFERROR(F28/$F$31*100,"0.00")</f>
        <v>1.6252186987954158</v>
      </c>
    </row>
    <row r="29" spans="1:7" ht="24" x14ac:dyDescent="0.2">
      <c r="A29" s="290"/>
      <c r="B29" s="290"/>
      <c r="C29" s="289">
        <v>512</v>
      </c>
      <c r="D29" s="290"/>
      <c r="E29" s="298" t="s">
        <v>582</v>
      </c>
      <c r="F29" s="306">
        <v>3579778.08</v>
      </c>
      <c r="G29" s="307">
        <f>IFERROR(F29/$F$31*100,"0.00")</f>
        <v>0.76262110260528837</v>
      </c>
    </row>
    <row r="30" spans="1:7" ht="12.75" x14ac:dyDescent="0.2">
      <c r="A30" s="290"/>
      <c r="B30" s="290"/>
      <c r="C30" s="289">
        <v>512</v>
      </c>
      <c r="D30" s="290"/>
      <c r="E30" s="298" t="s">
        <v>583</v>
      </c>
      <c r="F30" s="306">
        <v>5752628.5199999996</v>
      </c>
      <c r="G30" s="307">
        <f>IFERROR(F30/$F$31*100,"0.00")</f>
        <v>1.2255161651811186</v>
      </c>
    </row>
    <row r="31" spans="1:7" s="56" customFormat="1" ht="12.75" x14ac:dyDescent="0.2">
      <c r="A31" s="299"/>
      <c r="B31" s="299"/>
      <c r="C31" s="299"/>
      <c r="D31" s="299"/>
      <c r="E31" s="300" t="s">
        <v>584</v>
      </c>
      <c r="F31" s="311">
        <f>+F23+F12+F9</f>
        <v>469404540.18000001</v>
      </c>
      <c r="G31" s="311">
        <f>+G23+G12+G9</f>
        <v>99.999999999999986</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opLeftCell="D1" zoomScale="80" zoomScaleNormal="80" workbookViewId="0">
      <selection activeCell="G240" sqref="G240"/>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535" t="e">
        <f>+#REF!</f>
        <v>#REF!</v>
      </c>
      <c r="B1" s="536"/>
      <c r="C1" s="536"/>
      <c r="D1" s="536"/>
      <c r="E1" s="536"/>
      <c r="F1" s="536"/>
      <c r="G1" s="536"/>
      <c r="H1" s="536"/>
      <c r="I1" s="536"/>
      <c r="J1" s="536"/>
      <c r="K1" s="536"/>
      <c r="L1" s="536"/>
      <c r="M1" s="536"/>
      <c r="N1" s="536"/>
      <c r="O1" s="537"/>
    </row>
    <row r="2" spans="1:15" ht="15.75" customHeight="1" x14ac:dyDescent="0.25">
      <c r="A2" s="538" t="s">
        <v>1</v>
      </c>
      <c r="B2" s="518"/>
      <c r="C2" s="518"/>
      <c r="D2" s="518"/>
      <c r="E2" s="518"/>
      <c r="F2" s="518"/>
      <c r="G2" s="518"/>
      <c r="H2" s="518"/>
      <c r="I2" s="518"/>
      <c r="J2" s="518"/>
      <c r="K2" s="518"/>
      <c r="L2" s="518"/>
      <c r="M2" s="518"/>
      <c r="N2" s="518"/>
      <c r="O2" s="539"/>
    </row>
    <row r="3" spans="1:15" ht="15.75" customHeight="1" x14ac:dyDescent="0.25">
      <c r="A3" s="540" t="s">
        <v>2</v>
      </c>
      <c r="B3" s="520"/>
      <c r="C3" s="520"/>
      <c r="D3" s="520"/>
      <c r="E3" s="520"/>
      <c r="F3" s="520"/>
      <c r="G3" s="520"/>
      <c r="H3" s="520"/>
      <c r="I3" s="520"/>
      <c r="J3" s="520"/>
      <c r="K3" s="520"/>
      <c r="L3" s="520"/>
      <c r="M3" s="520"/>
      <c r="N3" s="520"/>
      <c r="O3" s="541"/>
    </row>
    <row r="4" spans="1:15" ht="15.75" customHeight="1" x14ac:dyDescent="0.2">
      <c r="A4" s="521" t="s">
        <v>585</v>
      </c>
      <c r="B4" s="522"/>
      <c r="C4" s="522"/>
      <c r="D4" s="522"/>
      <c r="E4" s="522"/>
      <c r="F4" s="522"/>
      <c r="G4" s="522"/>
      <c r="H4" s="522"/>
      <c r="I4" s="522"/>
      <c r="J4" s="522"/>
      <c r="K4" s="522"/>
      <c r="L4" s="522"/>
      <c r="M4" s="522"/>
      <c r="N4" s="522"/>
      <c r="O4" s="542"/>
    </row>
    <row r="5" spans="1:15" ht="15.75" customHeight="1" x14ac:dyDescent="0.2">
      <c r="A5" s="521" t="e">
        <f>+#REF!</f>
        <v>#REF!</v>
      </c>
      <c r="B5" s="522"/>
      <c r="C5" s="522"/>
      <c r="D5" s="522"/>
      <c r="E5" s="522"/>
      <c r="F5" s="522"/>
      <c r="G5" s="522"/>
      <c r="H5" s="522"/>
      <c r="I5" s="522"/>
      <c r="J5" s="522"/>
      <c r="K5" s="522"/>
      <c r="L5" s="522"/>
      <c r="M5" s="522"/>
      <c r="N5" s="522"/>
      <c r="O5" s="542"/>
    </row>
    <row r="6" spans="1:15" ht="15.75" customHeight="1" x14ac:dyDescent="0.2">
      <c r="A6" s="15" t="s">
        <v>15</v>
      </c>
      <c r="B6" s="5"/>
      <c r="C6" s="5"/>
      <c r="D6" s="5"/>
      <c r="E6" s="5"/>
      <c r="F6" s="523" t="e">
        <f>+#REF!</f>
        <v>#REF!</v>
      </c>
      <c r="G6" s="523"/>
      <c r="H6" s="523"/>
      <c r="I6" s="523"/>
      <c r="J6" s="523"/>
      <c r="K6" s="523"/>
      <c r="L6" s="523"/>
      <c r="M6" s="523"/>
      <c r="N6" s="523"/>
      <c r="O6" s="525"/>
    </row>
    <row r="7" spans="1:15" ht="15.75" customHeight="1" x14ac:dyDescent="0.2">
      <c r="A7" s="18" t="s">
        <v>586</v>
      </c>
      <c r="B7" s="19"/>
      <c r="C7" s="19"/>
      <c r="D7" s="16"/>
      <c r="E7" s="19"/>
      <c r="F7" s="526" t="e">
        <f>+#REF!</f>
        <v>#REF!</v>
      </c>
      <c r="G7" s="526"/>
      <c r="H7" s="526"/>
      <c r="I7" s="526"/>
      <c r="J7" s="526"/>
      <c r="K7" s="526"/>
      <c r="L7" s="526"/>
      <c r="M7" s="526"/>
      <c r="N7" s="526"/>
      <c r="O7" s="527"/>
    </row>
    <row r="8" spans="1:15" ht="15.75" customHeight="1" x14ac:dyDescent="0.2">
      <c r="A8" s="22" t="s">
        <v>551</v>
      </c>
      <c r="B8" s="23"/>
      <c r="C8" s="23"/>
      <c r="D8" s="23"/>
      <c r="E8" s="23"/>
      <c r="F8" s="23"/>
      <c r="G8" s="23"/>
      <c r="H8" s="23"/>
      <c r="I8" s="23"/>
      <c r="J8" s="23"/>
      <c r="K8" s="23"/>
      <c r="L8" s="23"/>
      <c r="M8" s="23"/>
      <c r="N8" s="23"/>
      <c r="O8" s="24"/>
    </row>
    <row r="9" spans="1:15" ht="13.5" x14ac:dyDescent="0.25">
      <c r="A9" s="42" t="s">
        <v>587</v>
      </c>
      <c r="B9" s="3"/>
      <c r="C9" s="3"/>
      <c r="D9" s="3"/>
      <c r="E9" s="43"/>
      <c r="F9" s="44"/>
      <c r="G9" s="59">
        <f>+PPNE3!F16</f>
        <v>17000000</v>
      </c>
      <c r="H9" s="41"/>
      <c r="I9" s="41"/>
      <c r="J9" s="41"/>
      <c r="K9" s="41"/>
      <c r="L9" s="41"/>
      <c r="M9" s="41"/>
      <c r="N9" s="41"/>
      <c r="O9" s="45"/>
    </row>
    <row r="10" spans="1:15" ht="13.5" x14ac:dyDescent="0.25">
      <c r="A10" s="42" t="s">
        <v>588</v>
      </c>
      <c r="B10" s="3"/>
      <c r="C10" s="3"/>
      <c r="D10" s="3"/>
      <c r="E10" s="43"/>
      <c r="F10" s="44"/>
      <c r="G10" s="59">
        <f>+PPNE3!F25</f>
        <v>39822391.920000002</v>
      </c>
      <c r="H10" s="41"/>
      <c r="I10" s="41"/>
      <c r="J10" s="41"/>
      <c r="K10" s="41"/>
      <c r="L10" s="41"/>
      <c r="M10" s="41"/>
      <c r="N10" s="41"/>
      <c r="O10" s="45"/>
    </row>
    <row r="11" spans="1:15" ht="13.5" x14ac:dyDescent="0.25">
      <c r="A11" s="42" t="s">
        <v>589</v>
      </c>
      <c r="B11" s="3"/>
      <c r="C11" s="3"/>
      <c r="D11" s="3"/>
      <c r="E11" s="43"/>
      <c r="F11" s="44"/>
      <c r="G11" s="59">
        <f>+PPNE3!F15</f>
        <v>412582148.25999999</v>
      </c>
      <c r="H11" s="41"/>
      <c r="I11" s="41"/>
      <c r="J11" s="41"/>
      <c r="K11" s="41"/>
      <c r="L11" s="41"/>
      <c r="M11" s="41"/>
      <c r="N11" s="41"/>
      <c r="O11" s="45"/>
    </row>
    <row r="12" spans="1:15" ht="13.5" x14ac:dyDescent="0.25">
      <c r="A12" s="42" t="s">
        <v>590</v>
      </c>
      <c r="B12" s="3"/>
      <c r="C12" s="3"/>
      <c r="D12" s="3"/>
      <c r="E12" s="43"/>
      <c r="F12" s="44"/>
      <c r="G12" s="59">
        <f>+PPNE3!F9+PPNE3!F17+PPNE3!F21+PPNE3!F22</f>
        <v>0</v>
      </c>
      <c r="H12" s="41"/>
      <c r="I12" s="41"/>
      <c r="J12" s="41"/>
      <c r="K12" s="41"/>
      <c r="L12" s="41"/>
      <c r="M12" s="41"/>
      <c r="N12" s="41"/>
      <c r="O12" s="45"/>
    </row>
    <row r="13" spans="1:15" ht="13.5" x14ac:dyDescent="0.25">
      <c r="A13" s="46" t="s">
        <v>591</v>
      </c>
      <c r="B13" s="3"/>
      <c r="C13" s="3"/>
      <c r="D13" s="3"/>
      <c r="E13" s="43"/>
      <c r="F13" s="44"/>
      <c r="G13" s="60">
        <f>+PPNE3!F18</f>
        <v>0</v>
      </c>
      <c r="H13" s="41"/>
      <c r="I13" s="41"/>
      <c r="J13" s="41"/>
      <c r="K13" s="41"/>
      <c r="L13" s="41"/>
      <c r="M13" s="41"/>
      <c r="N13" s="41"/>
      <c r="O13" s="45"/>
    </row>
    <row r="14" spans="1:15" ht="14.25" thickBot="1" x14ac:dyDescent="0.3">
      <c r="A14" s="34" t="s">
        <v>592</v>
      </c>
      <c r="B14" s="35"/>
      <c r="C14" s="35"/>
      <c r="D14" s="35"/>
      <c r="E14" s="36"/>
      <c r="F14" s="37"/>
      <c r="G14" s="38">
        <f>SUM(G9:G13)</f>
        <v>469404540.18000001</v>
      </c>
      <c r="H14" s="39"/>
      <c r="I14" s="39"/>
      <c r="J14" s="39"/>
      <c r="K14" s="39"/>
      <c r="L14" s="39"/>
      <c r="M14" s="39"/>
      <c r="N14" s="39"/>
      <c r="O14" s="40"/>
    </row>
    <row r="15" spans="1:15" ht="15.75" customHeight="1" thickTop="1" x14ac:dyDescent="0.2">
      <c r="A15" s="25" t="s">
        <v>593</v>
      </c>
      <c r="B15" s="20"/>
      <c r="C15" s="20"/>
      <c r="D15" s="20"/>
      <c r="E15" s="20"/>
      <c r="F15" s="20"/>
      <c r="G15" s="20"/>
      <c r="H15" s="20"/>
      <c r="I15" s="20"/>
      <c r="J15" s="20"/>
      <c r="K15" s="20"/>
      <c r="L15" s="20"/>
      <c r="M15" s="20"/>
      <c r="N15" s="20"/>
      <c r="O15" s="26"/>
    </row>
    <row r="16" spans="1:15" ht="19.5" customHeight="1" x14ac:dyDescent="0.2">
      <c r="A16" s="524" t="s">
        <v>594</v>
      </c>
      <c r="B16" s="524" t="s">
        <v>595</v>
      </c>
      <c r="C16" s="524" t="s">
        <v>554</v>
      </c>
      <c r="D16" s="524" t="s">
        <v>596</v>
      </c>
      <c r="E16" s="524" t="s">
        <v>555</v>
      </c>
      <c r="F16" s="529" t="s">
        <v>597</v>
      </c>
      <c r="G16" s="528" t="s">
        <v>598</v>
      </c>
      <c r="H16" s="528" t="s">
        <v>34</v>
      </c>
      <c r="I16" s="533" t="s">
        <v>599</v>
      </c>
      <c r="J16" s="534" t="s">
        <v>600</v>
      </c>
      <c r="K16" s="534"/>
      <c r="L16" s="528" t="s">
        <v>601</v>
      </c>
      <c r="M16" s="528"/>
      <c r="N16" s="531" t="s">
        <v>602</v>
      </c>
      <c r="O16" s="531" t="s">
        <v>558</v>
      </c>
    </row>
    <row r="17" spans="1:15" ht="44.25" customHeight="1" x14ac:dyDescent="0.2">
      <c r="A17" s="524"/>
      <c r="B17" s="524"/>
      <c r="C17" s="524"/>
      <c r="D17" s="524"/>
      <c r="E17" s="524"/>
      <c r="F17" s="530"/>
      <c r="G17" s="528"/>
      <c r="H17" s="528"/>
      <c r="I17" s="533"/>
      <c r="J17" s="21" t="s">
        <v>603</v>
      </c>
      <c r="K17" s="21" t="s">
        <v>604</v>
      </c>
      <c r="L17" s="21" t="s">
        <v>605</v>
      </c>
      <c r="M17" s="21" t="s">
        <v>606</v>
      </c>
      <c r="N17" s="532"/>
      <c r="O17" s="532"/>
    </row>
    <row r="18" spans="1:15" ht="12.75" x14ac:dyDescent="0.2">
      <c r="A18" s="312">
        <v>2</v>
      </c>
      <c r="B18" s="313"/>
      <c r="C18" s="313"/>
      <c r="D18" s="313"/>
      <c r="E18" s="313"/>
      <c r="F18" s="314" t="s">
        <v>36</v>
      </c>
      <c r="G18" s="31">
        <f>+G19+G67+G171+G255+G272+G325</f>
        <v>2505825.4500000002</v>
      </c>
      <c r="H18" s="31">
        <f t="shared" ref="H18:O18" si="0">+H19+H67+H171+H255+H272+H325</f>
        <v>5965107.6500000004</v>
      </c>
      <c r="I18" s="31">
        <f t="shared" si="0"/>
        <v>8933488.1500000004</v>
      </c>
      <c r="J18" s="31">
        <f t="shared" si="0"/>
        <v>8357946.8600000013</v>
      </c>
      <c r="K18" s="31">
        <f t="shared" si="0"/>
        <v>1145823.04</v>
      </c>
      <c r="L18" s="31">
        <f t="shared" si="0"/>
        <v>34440</v>
      </c>
      <c r="M18" s="31">
        <f>+M19+M67+M171+M255+M272+M325</f>
        <v>442461909.02999997</v>
      </c>
      <c r="N18" s="31">
        <f>+N19+N67+N171+N255+N272+N325</f>
        <v>469404540.18000001</v>
      </c>
      <c r="O18" s="31">
        <f t="shared" si="0"/>
        <v>103.4285188195727</v>
      </c>
    </row>
    <row r="19" spans="1:15" ht="12.75" x14ac:dyDescent="0.2">
      <c r="A19" s="315">
        <v>2</v>
      </c>
      <c r="B19" s="316">
        <v>1</v>
      </c>
      <c r="C19" s="317"/>
      <c r="D19" s="317"/>
      <c r="E19" s="317"/>
      <c r="F19" s="318" t="s">
        <v>607</v>
      </c>
      <c r="G19" s="33">
        <f>+G20+G42+G54+G58</f>
        <v>0</v>
      </c>
      <c r="H19" s="33">
        <f t="shared" ref="H19:O19" si="1">+H20+H42+H54+H58</f>
        <v>0</v>
      </c>
      <c r="I19" s="33">
        <f t="shared" si="1"/>
        <v>0</v>
      </c>
      <c r="J19" s="33">
        <f t="shared" si="1"/>
        <v>0</v>
      </c>
      <c r="K19" s="33">
        <f t="shared" si="1"/>
        <v>0</v>
      </c>
      <c r="L19" s="33">
        <f t="shared" si="1"/>
        <v>0</v>
      </c>
      <c r="M19" s="33">
        <f t="shared" si="1"/>
        <v>412582148.25999999</v>
      </c>
      <c r="N19" s="33">
        <f t="shared" si="1"/>
        <v>412582148.25999999</v>
      </c>
      <c r="O19" s="33">
        <f t="shared" si="1"/>
        <v>87.894792858584054</v>
      </c>
    </row>
    <row r="20" spans="1:15" ht="12.75" x14ac:dyDescent="0.2">
      <c r="A20" s="319">
        <v>2</v>
      </c>
      <c r="B20" s="320">
        <v>1</v>
      </c>
      <c r="C20" s="320">
        <v>1</v>
      </c>
      <c r="D20" s="320"/>
      <c r="E20" s="320"/>
      <c r="F20" s="321" t="s">
        <v>608</v>
      </c>
      <c r="G20" s="32">
        <f>+G21+G26+G33+G35+G37</f>
        <v>0</v>
      </c>
      <c r="H20" s="32">
        <f t="shared" ref="H20:N20" si="2">+H21+H26+H33+H35+H37</f>
        <v>0</v>
      </c>
      <c r="I20" s="32">
        <f t="shared" si="2"/>
        <v>0</v>
      </c>
      <c r="J20" s="32">
        <f t="shared" si="2"/>
        <v>0</v>
      </c>
      <c r="K20" s="32">
        <f t="shared" si="2"/>
        <v>0</v>
      </c>
      <c r="L20" s="32">
        <f t="shared" si="2"/>
        <v>0</v>
      </c>
      <c r="M20" s="32">
        <f t="shared" si="2"/>
        <v>412582148.25999999</v>
      </c>
      <c r="N20" s="32">
        <f t="shared" si="2"/>
        <v>412582148.25999999</v>
      </c>
      <c r="O20" s="32">
        <f>+O21+O26+O33+O35+O37</f>
        <v>87.894792858584054</v>
      </c>
    </row>
    <row r="21" spans="1:15" ht="12.75" x14ac:dyDescent="0.2">
      <c r="A21" s="322">
        <v>2</v>
      </c>
      <c r="B21" s="323">
        <v>1</v>
      </c>
      <c r="C21" s="323">
        <v>1</v>
      </c>
      <c r="D21" s="323">
        <v>1</v>
      </c>
      <c r="E21" s="323"/>
      <c r="F21" s="324" t="s">
        <v>609</v>
      </c>
      <c r="G21" s="30">
        <f>SUM(G22:G25)</f>
        <v>0</v>
      </c>
      <c r="H21" s="30">
        <f t="shared" ref="H21:M21" si="3">SUM(H22:H25)</f>
        <v>0</v>
      </c>
      <c r="I21" s="30">
        <f t="shared" si="3"/>
        <v>0</v>
      </c>
      <c r="J21" s="30">
        <f t="shared" si="3"/>
        <v>0</v>
      </c>
      <c r="K21" s="30">
        <f t="shared" si="3"/>
        <v>0</v>
      </c>
      <c r="L21" s="30">
        <f t="shared" si="3"/>
        <v>0</v>
      </c>
      <c r="M21" s="30">
        <f t="shared" si="3"/>
        <v>0</v>
      </c>
      <c r="N21" s="30">
        <f>SUM(N22:N25)</f>
        <v>0</v>
      </c>
      <c r="O21" s="54">
        <f>SUM(O22:O25)</f>
        <v>0</v>
      </c>
    </row>
    <row r="22" spans="1:15" ht="12.75" x14ac:dyDescent="0.2">
      <c r="A22" s="325">
        <v>2</v>
      </c>
      <c r="B22" s="326">
        <v>1</v>
      </c>
      <c r="C22" s="326">
        <v>1</v>
      </c>
      <c r="D22" s="326">
        <v>1</v>
      </c>
      <c r="E22" s="326" t="s">
        <v>610</v>
      </c>
      <c r="F22" s="327" t="s">
        <v>611</v>
      </c>
      <c r="G22" s="27"/>
      <c r="H22" s="27"/>
      <c r="I22" s="27"/>
      <c r="J22" s="27"/>
      <c r="K22" s="27"/>
      <c r="L22" s="27"/>
      <c r="M22" s="27"/>
      <c r="N22" s="343">
        <f t="shared" ref="N22:N41" si="4">SUBTOTAL(9,G22:M22)</f>
        <v>0</v>
      </c>
      <c r="O22" s="346">
        <f t="shared" ref="O22:O32" si="5">IFERROR(N22/$N$18*100,"0.00")</f>
        <v>0</v>
      </c>
    </row>
    <row r="23" spans="1:15" ht="12.75" x14ac:dyDescent="0.2">
      <c r="A23" s="325">
        <v>2</v>
      </c>
      <c r="B23" s="326">
        <v>1</v>
      </c>
      <c r="C23" s="326">
        <v>1</v>
      </c>
      <c r="D23" s="326">
        <v>1</v>
      </c>
      <c r="E23" s="326" t="s">
        <v>612</v>
      </c>
      <c r="F23" s="328" t="s">
        <v>613</v>
      </c>
      <c r="G23" s="27"/>
      <c r="H23" s="27"/>
      <c r="I23" s="27"/>
      <c r="J23" s="27"/>
      <c r="K23" s="27"/>
      <c r="L23" s="27"/>
      <c r="M23" s="27"/>
      <c r="N23" s="343">
        <f t="shared" si="4"/>
        <v>0</v>
      </c>
      <c r="O23" s="346">
        <f t="shared" si="5"/>
        <v>0</v>
      </c>
    </row>
    <row r="24" spans="1:15" ht="12.75" x14ac:dyDescent="0.2">
      <c r="A24" s="325">
        <v>2</v>
      </c>
      <c r="B24" s="326">
        <v>1</v>
      </c>
      <c r="C24" s="326">
        <v>1</v>
      </c>
      <c r="D24" s="326">
        <v>1</v>
      </c>
      <c r="E24" s="326" t="s">
        <v>614</v>
      </c>
      <c r="F24" s="328" t="s">
        <v>615</v>
      </c>
      <c r="G24" s="27"/>
      <c r="H24" s="27"/>
      <c r="I24" s="27"/>
      <c r="J24" s="27"/>
      <c r="K24" s="27"/>
      <c r="L24" s="27"/>
      <c r="M24" s="27"/>
      <c r="N24" s="343">
        <f t="shared" si="4"/>
        <v>0</v>
      </c>
      <c r="O24" s="346">
        <f t="shared" si="5"/>
        <v>0</v>
      </c>
    </row>
    <row r="25" spans="1:15" ht="12.75" x14ac:dyDescent="0.2">
      <c r="A25" s="325">
        <v>2</v>
      </c>
      <c r="B25" s="326">
        <v>1</v>
      </c>
      <c r="C25" s="326">
        <v>1</v>
      </c>
      <c r="D25" s="326">
        <v>1</v>
      </c>
      <c r="E25" s="326" t="s">
        <v>616</v>
      </c>
      <c r="F25" s="328" t="s">
        <v>617</v>
      </c>
      <c r="G25" s="27"/>
      <c r="H25" s="27"/>
      <c r="I25" s="27"/>
      <c r="J25" s="27"/>
      <c r="K25" s="27"/>
      <c r="L25" s="27"/>
      <c r="M25" s="27"/>
      <c r="N25" s="343">
        <f t="shared" si="4"/>
        <v>0</v>
      </c>
      <c r="O25" s="346">
        <f t="shared" si="5"/>
        <v>0</v>
      </c>
    </row>
    <row r="26" spans="1:15" ht="12.75" x14ac:dyDescent="0.2">
      <c r="A26" s="322">
        <v>2</v>
      </c>
      <c r="B26" s="323">
        <v>1</v>
      </c>
      <c r="C26" s="323">
        <v>1</v>
      </c>
      <c r="D26" s="323">
        <v>2</v>
      </c>
      <c r="E26" s="323"/>
      <c r="F26" s="324" t="s">
        <v>618</v>
      </c>
      <c r="G26" s="30">
        <f t="shared" ref="G26:O26" si="6">SUM(G27:G32)</f>
        <v>0</v>
      </c>
      <c r="H26" s="30">
        <f t="shared" si="6"/>
        <v>0</v>
      </c>
      <c r="I26" s="30">
        <f t="shared" si="6"/>
        <v>0</v>
      </c>
      <c r="J26" s="30">
        <f t="shared" si="6"/>
        <v>0</v>
      </c>
      <c r="K26" s="30">
        <f t="shared" si="6"/>
        <v>0</v>
      </c>
      <c r="L26" s="30">
        <f t="shared" si="6"/>
        <v>0</v>
      </c>
      <c r="M26" s="30">
        <f t="shared" si="6"/>
        <v>0</v>
      </c>
      <c r="N26" s="30">
        <f t="shared" si="6"/>
        <v>0</v>
      </c>
      <c r="O26" s="54">
        <f t="shared" si="6"/>
        <v>0</v>
      </c>
    </row>
    <row r="27" spans="1:15" ht="12.75" x14ac:dyDescent="0.2">
      <c r="A27" s="325">
        <v>2</v>
      </c>
      <c r="B27" s="326">
        <v>1</v>
      </c>
      <c r="C27" s="326">
        <v>1</v>
      </c>
      <c r="D27" s="326">
        <v>2</v>
      </c>
      <c r="E27" s="326" t="s">
        <v>619</v>
      </c>
      <c r="F27" s="328" t="s">
        <v>620</v>
      </c>
      <c r="G27" s="27"/>
      <c r="H27" s="27"/>
      <c r="I27" s="27"/>
      <c r="J27" s="27"/>
      <c r="K27" s="27"/>
      <c r="L27" s="27"/>
      <c r="M27" s="27"/>
      <c r="N27" s="344">
        <f t="shared" si="4"/>
        <v>0</v>
      </c>
      <c r="O27" s="346">
        <f t="shared" si="5"/>
        <v>0</v>
      </c>
    </row>
    <row r="28" spans="1:15" ht="12.75" x14ac:dyDescent="0.2">
      <c r="A28" s="325">
        <v>2</v>
      </c>
      <c r="B28" s="326">
        <v>1</v>
      </c>
      <c r="C28" s="326">
        <v>1</v>
      </c>
      <c r="D28" s="326">
        <v>2</v>
      </c>
      <c r="E28" s="326" t="s">
        <v>614</v>
      </c>
      <c r="F28" s="328" t="s">
        <v>621</v>
      </c>
      <c r="G28" s="27"/>
      <c r="H28" s="27"/>
      <c r="I28" s="27"/>
      <c r="J28" s="27"/>
      <c r="K28" s="27"/>
      <c r="L28" s="27"/>
      <c r="M28" s="27"/>
      <c r="N28" s="344">
        <f t="shared" si="4"/>
        <v>0</v>
      </c>
      <c r="O28" s="346">
        <f t="shared" si="5"/>
        <v>0</v>
      </c>
    </row>
    <row r="29" spans="1:15" ht="12.75" x14ac:dyDescent="0.2">
      <c r="A29" s="325">
        <v>2</v>
      </c>
      <c r="B29" s="326">
        <v>1</v>
      </c>
      <c r="C29" s="326">
        <v>1</v>
      </c>
      <c r="D29" s="326">
        <v>2</v>
      </c>
      <c r="E29" s="326" t="s">
        <v>616</v>
      </c>
      <c r="F29" s="328" t="s">
        <v>622</v>
      </c>
      <c r="G29" s="27"/>
      <c r="H29" s="27"/>
      <c r="I29" s="27"/>
      <c r="J29" s="27"/>
      <c r="K29" s="27"/>
      <c r="L29" s="27"/>
      <c r="M29" s="27"/>
      <c r="N29" s="344">
        <f t="shared" si="4"/>
        <v>0</v>
      </c>
      <c r="O29" s="346">
        <f t="shared" si="5"/>
        <v>0</v>
      </c>
    </row>
    <row r="30" spans="1:15" ht="12.75" x14ac:dyDescent="0.2">
      <c r="A30" s="325">
        <v>2</v>
      </c>
      <c r="B30" s="326">
        <v>1</v>
      </c>
      <c r="C30" s="326">
        <v>1</v>
      </c>
      <c r="D30" s="326">
        <v>2</v>
      </c>
      <c r="E30" s="326" t="s">
        <v>623</v>
      </c>
      <c r="F30" s="328" t="s">
        <v>624</v>
      </c>
      <c r="G30" s="27"/>
      <c r="H30" s="27"/>
      <c r="I30" s="27"/>
      <c r="J30" s="27"/>
      <c r="K30" s="27"/>
      <c r="L30" s="27"/>
      <c r="M30" s="27"/>
      <c r="N30" s="344">
        <f t="shared" si="4"/>
        <v>0</v>
      </c>
      <c r="O30" s="346">
        <f t="shared" si="5"/>
        <v>0</v>
      </c>
    </row>
    <row r="31" spans="1:15" ht="12.75" x14ac:dyDescent="0.2">
      <c r="A31" s="325">
        <v>2</v>
      </c>
      <c r="B31" s="326">
        <v>1</v>
      </c>
      <c r="C31" s="326">
        <v>1</v>
      </c>
      <c r="D31" s="326">
        <v>2</v>
      </c>
      <c r="E31" s="326" t="s">
        <v>625</v>
      </c>
      <c r="F31" s="328" t="s">
        <v>626</v>
      </c>
      <c r="G31" s="27"/>
      <c r="H31" s="27"/>
      <c r="I31" s="27"/>
      <c r="J31" s="27"/>
      <c r="K31" s="27"/>
      <c r="L31" s="27"/>
      <c r="M31" s="27"/>
      <c r="N31" s="344">
        <f t="shared" si="4"/>
        <v>0</v>
      </c>
      <c r="O31" s="346">
        <f t="shared" si="5"/>
        <v>0</v>
      </c>
    </row>
    <row r="32" spans="1:15" ht="12.75" x14ac:dyDescent="0.2">
      <c r="A32" s="325">
        <v>2</v>
      </c>
      <c r="B32" s="326">
        <v>1</v>
      </c>
      <c r="C32" s="326">
        <v>1</v>
      </c>
      <c r="D32" s="326">
        <v>2</v>
      </c>
      <c r="E32" s="326" t="s">
        <v>627</v>
      </c>
      <c r="F32" s="328" t="s">
        <v>628</v>
      </c>
      <c r="G32" s="27"/>
      <c r="H32" s="27"/>
      <c r="I32" s="27"/>
      <c r="J32" s="27"/>
      <c r="K32" s="27"/>
      <c r="L32" s="27"/>
      <c r="M32" s="27"/>
      <c r="N32" s="344">
        <f t="shared" si="4"/>
        <v>0</v>
      </c>
      <c r="O32" s="346">
        <f t="shared" si="5"/>
        <v>0</v>
      </c>
    </row>
    <row r="33" spans="1:15" ht="12.75" x14ac:dyDescent="0.2">
      <c r="A33" s="322">
        <v>2</v>
      </c>
      <c r="B33" s="323">
        <v>1</v>
      </c>
      <c r="C33" s="323">
        <v>1</v>
      </c>
      <c r="D33" s="323">
        <v>3</v>
      </c>
      <c r="E33" s="323"/>
      <c r="F33" s="324" t="s">
        <v>629</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25">
        <v>2</v>
      </c>
      <c r="B34" s="326">
        <v>1</v>
      </c>
      <c r="C34" s="326">
        <v>1</v>
      </c>
      <c r="D34" s="326">
        <v>3</v>
      </c>
      <c r="E34" s="326" t="s">
        <v>610</v>
      </c>
      <c r="F34" s="328" t="s">
        <v>629</v>
      </c>
      <c r="G34" s="27"/>
      <c r="H34" s="27"/>
      <c r="I34" s="27"/>
      <c r="J34" s="27"/>
      <c r="K34" s="27"/>
      <c r="L34" s="27"/>
      <c r="M34" s="27"/>
      <c r="N34" s="344">
        <f t="shared" si="4"/>
        <v>0</v>
      </c>
      <c r="O34" s="346">
        <f t="shared" ref="O34:O41" si="8">IFERROR(N34/$N$18*100,"0.00")</f>
        <v>0</v>
      </c>
    </row>
    <row r="35" spans="1:15" ht="12.75" x14ac:dyDescent="0.2">
      <c r="A35" s="322">
        <v>2</v>
      </c>
      <c r="B35" s="323">
        <v>1</v>
      </c>
      <c r="C35" s="323">
        <v>1</v>
      </c>
      <c r="D35" s="323">
        <v>4</v>
      </c>
      <c r="E35" s="323"/>
      <c r="F35" s="324" t="s">
        <v>630</v>
      </c>
      <c r="G35" s="30">
        <f>G36</f>
        <v>0</v>
      </c>
      <c r="H35" s="30">
        <f t="shared" ref="H35:M35" si="9">H36</f>
        <v>0</v>
      </c>
      <c r="I35" s="30">
        <f t="shared" si="9"/>
        <v>0</v>
      </c>
      <c r="J35" s="30">
        <f t="shared" si="9"/>
        <v>0</v>
      </c>
      <c r="K35" s="30">
        <f t="shared" si="9"/>
        <v>0</v>
      </c>
      <c r="L35" s="30">
        <f t="shared" si="9"/>
        <v>0</v>
      </c>
      <c r="M35" s="30">
        <f t="shared" si="9"/>
        <v>412582148.25999999</v>
      </c>
      <c r="N35" s="30">
        <f>N36</f>
        <v>412582148.25999999</v>
      </c>
      <c r="O35" s="54">
        <f>O36</f>
        <v>87.894792858584054</v>
      </c>
    </row>
    <row r="36" spans="1:15" ht="12.75" x14ac:dyDescent="0.2">
      <c r="A36" s="325">
        <v>2</v>
      </c>
      <c r="B36" s="326">
        <v>1</v>
      </c>
      <c r="C36" s="326">
        <v>1</v>
      </c>
      <c r="D36" s="326">
        <v>4</v>
      </c>
      <c r="E36" s="326" t="s">
        <v>610</v>
      </c>
      <c r="F36" s="328" t="s">
        <v>630</v>
      </c>
      <c r="G36" s="27"/>
      <c r="H36" s="27"/>
      <c r="I36" s="27"/>
      <c r="J36" s="27"/>
      <c r="K36" s="27"/>
      <c r="L36" s="27"/>
      <c r="M36" s="27">
        <v>412582148.25999999</v>
      </c>
      <c r="N36" s="344">
        <f t="shared" si="4"/>
        <v>412582148.25999999</v>
      </c>
      <c r="O36" s="345">
        <f t="shared" si="8"/>
        <v>87.894792858584054</v>
      </c>
    </row>
    <row r="37" spans="1:15" ht="12.75" x14ac:dyDescent="0.2">
      <c r="A37" s="322">
        <v>2</v>
      </c>
      <c r="B37" s="323">
        <v>1</v>
      </c>
      <c r="C37" s="323">
        <v>1</v>
      </c>
      <c r="D37" s="323">
        <v>5</v>
      </c>
      <c r="E37" s="323"/>
      <c r="F37" s="324" t="s">
        <v>631</v>
      </c>
      <c r="G37" s="30">
        <f>SUM(G38:G41)</f>
        <v>0</v>
      </c>
      <c r="H37" s="30">
        <f t="shared" ref="H37:O37" si="10">SUM(H38:H41)</f>
        <v>0</v>
      </c>
      <c r="I37" s="30">
        <f t="shared" si="10"/>
        <v>0</v>
      </c>
      <c r="J37" s="30">
        <f t="shared" si="10"/>
        <v>0</v>
      </c>
      <c r="K37" s="30">
        <f t="shared" si="10"/>
        <v>0</v>
      </c>
      <c r="L37" s="30">
        <f t="shared" si="10"/>
        <v>0</v>
      </c>
      <c r="M37" s="30">
        <f t="shared" si="10"/>
        <v>0</v>
      </c>
      <c r="N37" s="30">
        <f t="shared" si="10"/>
        <v>0</v>
      </c>
      <c r="O37" s="54">
        <f t="shared" si="10"/>
        <v>0</v>
      </c>
    </row>
    <row r="38" spans="1:15" ht="12.75" x14ac:dyDescent="0.2">
      <c r="A38" s="325">
        <v>2</v>
      </c>
      <c r="B38" s="326">
        <v>1</v>
      </c>
      <c r="C38" s="326">
        <v>1</v>
      </c>
      <c r="D38" s="326">
        <v>5</v>
      </c>
      <c r="E38" s="326" t="s">
        <v>610</v>
      </c>
      <c r="F38" s="329" t="s">
        <v>631</v>
      </c>
      <c r="G38" s="27"/>
      <c r="H38" s="27"/>
      <c r="I38" s="27"/>
      <c r="J38" s="27"/>
      <c r="K38" s="27"/>
      <c r="L38" s="27"/>
      <c r="M38" s="27"/>
      <c r="N38" s="344">
        <f t="shared" si="4"/>
        <v>0</v>
      </c>
      <c r="O38" s="345">
        <f t="shared" si="8"/>
        <v>0</v>
      </c>
    </row>
    <row r="39" spans="1:15" ht="12.75" x14ac:dyDescent="0.2">
      <c r="A39" s="325">
        <v>2</v>
      </c>
      <c r="B39" s="326">
        <v>1</v>
      </c>
      <c r="C39" s="326">
        <v>1</v>
      </c>
      <c r="D39" s="326">
        <v>5</v>
      </c>
      <c r="E39" s="326" t="s">
        <v>612</v>
      </c>
      <c r="F39" s="328" t="s">
        <v>632</v>
      </c>
      <c r="G39" s="27"/>
      <c r="H39" s="27"/>
      <c r="I39" s="27"/>
      <c r="J39" s="27"/>
      <c r="K39" s="27"/>
      <c r="L39" s="27"/>
      <c r="M39" s="27"/>
      <c r="N39" s="344">
        <f t="shared" si="4"/>
        <v>0</v>
      </c>
      <c r="O39" s="345">
        <f t="shared" si="8"/>
        <v>0</v>
      </c>
    </row>
    <row r="40" spans="1:15" ht="12.75" x14ac:dyDescent="0.2">
      <c r="A40" s="325">
        <v>2</v>
      </c>
      <c r="B40" s="326">
        <v>1</v>
      </c>
      <c r="C40" s="326">
        <v>1</v>
      </c>
      <c r="D40" s="326">
        <v>5</v>
      </c>
      <c r="E40" s="326" t="s">
        <v>619</v>
      </c>
      <c r="F40" s="328" t="s">
        <v>633</v>
      </c>
      <c r="G40" s="27"/>
      <c r="H40" s="27"/>
      <c r="I40" s="27"/>
      <c r="J40" s="27"/>
      <c r="K40" s="27"/>
      <c r="L40" s="27"/>
      <c r="M40" s="27"/>
      <c r="N40" s="344">
        <f t="shared" si="4"/>
        <v>0</v>
      </c>
      <c r="O40" s="345">
        <f t="shared" si="8"/>
        <v>0</v>
      </c>
    </row>
    <row r="41" spans="1:15" ht="12.75" x14ac:dyDescent="0.2">
      <c r="A41" s="325">
        <v>2</v>
      </c>
      <c r="B41" s="326">
        <v>1</v>
      </c>
      <c r="C41" s="326">
        <v>1</v>
      </c>
      <c r="D41" s="326">
        <v>5</v>
      </c>
      <c r="E41" s="326" t="s">
        <v>634</v>
      </c>
      <c r="F41" s="328" t="s">
        <v>635</v>
      </c>
      <c r="G41" s="27"/>
      <c r="H41" s="27"/>
      <c r="I41" s="27"/>
      <c r="J41" s="27"/>
      <c r="K41" s="27"/>
      <c r="L41" s="27"/>
      <c r="M41" s="27"/>
      <c r="N41" s="344">
        <f t="shared" si="4"/>
        <v>0</v>
      </c>
      <c r="O41" s="345">
        <f t="shared" si="8"/>
        <v>0</v>
      </c>
    </row>
    <row r="42" spans="1:15" ht="12.75" x14ac:dyDescent="0.2">
      <c r="A42" s="319">
        <v>2</v>
      </c>
      <c r="B42" s="320">
        <v>1</v>
      </c>
      <c r="C42" s="320">
        <v>2</v>
      </c>
      <c r="D42" s="320"/>
      <c r="E42" s="320"/>
      <c r="F42" s="321" t="s">
        <v>636</v>
      </c>
      <c r="G42" s="32">
        <f>+G43+G45</f>
        <v>0</v>
      </c>
      <c r="H42" s="32">
        <f t="shared" ref="H42:O42" si="11">+H43+H45</f>
        <v>0</v>
      </c>
      <c r="I42" s="32">
        <f t="shared" si="11"/>
        <v>0</v>
      </c>
      <c r="J42" s="32">
        <f t="shared" si="11"/>
        <v>0</v>
      </c>
      <c r="K42" s="32">
        <f t="shared" si="11"/>
        <v>0</v>
      </c>
      <c r="L42" s="32">
        <f t="shared" si="11"/>
        <v>0</v>
      </c>
      <c r="M42" s="32">
        <f t="shared" si="11"/>
        <v>0</v>
      </c>
      <c r="N42" s="32">
        <f t="shared" si="11"/>
        <v>0</v>
      </c>
      <c r="O42" s="32">
        <f t="shared" si="11"/>
        <v>0</v>
      </c>
    </row>
    <row r="43" spans="1:15" ht="12.75" x14ac:dyDescent="0.2">
      <c r="A43" s="322">
        <v>2</v>
      </c>
      <c r="B43" s="323">
        <v>1</v>
      </c>
      <c r="C43" s="323">
        <v>2</v>
      </c>
      <c r="D43" s="323">
        <v>1</v>
      </c>
      <c r="E43" s="323"/>
      <c r="F43" s="324" t="s">
        <v>637</v>
      </c>
      <c r="G43" s="30">
        <f>G44</f>
        <v>0</v>
      </c>
      <c r="H43" s="30">
        <f t="shared" ref="H43:O43" si="12">H44</f>
        <v>0</v>
      </c>
      <c r="I43" s="30">
        <f t="shared" si="12"/>
        <v>0</v>
      </c>
      <c r="J43" s="30">
        <f t="shared" si="12"/>
        <v>0</v>
      </c>
      <c r="K43" s="30">
        <f t="shared" si="12"/>
        <v>0</v>
      </c>
      <c r="L43" s="30">
        <f t="shared" si="12"/>
        <v>0</v>
      </c>
      <c r="M43" s="30">
        <f t="shared" si="12"/>
        <v>0</v>
      </c>
      <c r="N43" s="30">
        <f t="shared" si="12"/>
        <v>0</v>
      </c>
      <c r="O43" s="54">
        <f t="shared" si="12"/>
        <v>0</v>
      </c>
    </row>
    <row r="44" spans="1:15" ht="12.75" x14ac:dyDescent="0.2">
      <c r="A44" s="325">
        <v>2</v>
      </c>
      <c r="B44" s="326">
        <v>1</v>
      </c>
      <c r="C44" s="326">
        <v>2</v>
      </c>
      <c r="D44" s="326">
        <v>1</v>
      </c>
      <c r="E44" s="326" t="s">
        <v>610</v>
      </c>
      <c r="F44" s="328" t="s">
        <v>637</v>
      </c>
      <c r="G44" s="27"/>
      <c r="H44" s="27"/>
      <c r="I44" s="27"/>
      <c r="J44" s="27"/>
      <c r="K44" s="27"/>
      <c r="L44" s="27"/>
      <c r="M44" s="27"/>
      <c r="N44" s="343">
        <f>SUBTOTAL(9,G44:M44)</f>
        <v>0</v>
      </c>
      <c r="O44" s="346">
        <f>IFERROR(N44/$N$18*100,"0.00")</f>
        <v>0</v>
      </c>
    </row>
    <row r="45" spans="1:15" ht="12.75" x14ac:dyDescent="0.2">
      <c r="A45" s="322">
        <v>2</v>
      </c>
      <c r="B45" s="323">
        <v>1</v>
      </c>
      <c r="C45" s="323">
        <v>2</v>
      </c>
      <c r="D45" s="323">
        <v>2</v>
      </c>
      <c r="E45" s="323"/>
      <c r="F45" s="324" t="s">
        <v>638</v>
      </c>
      <c r="G45" s="30">
        <f>SUM(G46:G53)</f>
        <v>0</v>
      </c>
      <c r="H45" s="30">
        <f t="shared" ref="H45:M45" si="13">SUM(H46:H53)</f>
        <v>0</v>
      </c>
      <c r="I45" s="30">
        <f t="shared" si="13"/>
        <v>0</v>
      </c>
      <c r="J45" s="30">
        <f t="shared" si="13"/>
        <v>0</v>
      </c>
      <c r="K45" s="30">
        <f t="shared" si="13"/>
        <v>0</v>
      </c>
      <c r="L45" s="30">
        <f t="shared" si="13"/>
        <v>0</v>
      </c>
      <c r="M45" s="30">
        <f t="shared" si="13"/>
        <v>0</v>
      </c>
      <c r="N45" s="30">
        <f>SUM(N46:N53)</f>
        <v>0</v>
      </c>
      <c r="O45" s="54">
        <f>SUM(O46:O53)</f>
        <v>0</v>
      </c>
    </row>
    <row r="46" spans="1:15" ht="12.75" x14ac:dyDescent="0.2">
      <c r="A46" s="325">
        <v>2</v>
      </c>
      <c r="B46" s="326">
        <v>1</v>
      </c>
      <c r="C46" s="326">
        <v>2</v>
      </c>
      <c r="D46" s="326">
        <v>2</v>
      </c>
      <c r="E46" s="326" t="s">
        <v>619</v>
      </c>
      <c r="F46" s="330" t="s">
        <v>639</v>
      </c>
      <c r="G46" s="344"/>
      <c r="H46" s="27"/>
      <c r="I46" s="27"/>
      <c r="J46" s="27"/>
      <c r="K46" s="27"/>
      <c r="L46" s="27"/>
      <c r="M46" s="27"/>
      <c r="N46" s="343">
        <f>SUBTOTAL(9,G46:M46)</f>
        <v>0</v>
      </c>
      <c r="O46" s="346">
        <f t="shared" ref="O46:O53" si="14">IFERROR(N46/$N$18*100,"0.00")</f>
        <v>0</v>
      </c>
    </row>
    <row r="47" spans="1:15" ht="12.75" x14ac:dyDescent="0.2">
      <c r="A47" s="325">
        <v>2</v>
      </c>
      <c r="B47" s="326">
        <v>1</v>
      </c>
      <c r="C47" s="326">
        <v>2</v>
      </c>
      <c r="D47" s="326">
        <v>2</v>
      </c>
      <c r="E47" s="326" t="s">
        <v>634</v>
      </c>
      <c r="F47" s="328" t="s">
        <v>640</v>
      </c>
      <c r="G47" s="344"/>
      <c r="H47" s="27"/>
      <c r="I47" s="27"/>
      <c r="J47" s="27"/>
      <c r="K47" s="27"/>
      <c r="L47" s="27"/>
      <c r="M47" s="27"/>
      <c r="N47" s="343">
        <f t="shared" ref="N47:N53" si="15">SUBTOTAL(9,G47:M47)</f>
        <v>0</v>
      </c>
      <c r="O47" s="346">
        <f t="shared" si="14"/>
        <v>0</v>
      </c>
    </row>
    <row r="48" spans="1:15" ht="12.75" x14ac:dyDescent="0.2">
      <c r="A48" s="325">
        <v>2</v>
      </c>
      <c r="B48" s="326">
        <v>1</v>
      </c>
      <c r="C48" s="326">
        <v>2</v>
      </c>
      <c r="D48" s="326">
        <v>2</v>
      </c>
      <c r="E48" s="326" t="s">
        <v>614</v>
      </c>
      <c r="F48" s="328" t="s">
        <v>641</v>
      </c>
      <c r="G48" s="344"/>
      <c r="H48" s="27"/>
      <c r="I48" s="27"/>
      <c r="J48" s="27"/>
      <c r="K48" s="27"/>
      <c r="L48" s="27"/>
      <c r="M48" s="27"/>
      <c r="N48" s="343">
        <f t="shared" si="15"/>
        <v>0</v>
      </c>
      <c r="O48" s="346">
        <f t="shared" si="14"/>
        <v>0</v>
      </c>
    </row>
    <row r="49" spans="1:15" ht="12.75" x14ac:dyDescent="0.2">
      <c r="A49" s="325">
        <v>2</v>
      </c>
      <c r="B49" s="326">
        <v>1</v>
      </c>
      <c r="C49" s="326">
        <v>2</v>
      </c>
      <c r="D49" s="326">
        <v>2</v>
      </c>
      <c r="E49" s="326" t="s">
        <v>616</v>
      </c>
      <c r="F49" s="328" t="s">
        <v>642</v>
      </c>
      <c r="G49" s="344"/>
      <c r="H49" s="27"/>
      <c r="I49" s="27"/>
      <c r="J49" s="27"/>
      <c r="K49" s="27"/>
      <c r="L49" s="27"/>
      <c r="M49" s="27"/>
      <c r="N49" s="343">
        <f t="shared" si="15"/>
        <v>0</v>
      </c>
      <c r="O49" s="346">
        <f t="shared" si="14"/>
        <v>0</v>
      </c>
    </row>
    <row r="50" spans="1:15" ht="12.75" x14ac:dyDescent="0.2">
      <c r="A50" s="325">
        <v>2</v>
      </c>
      <c r="B50" s="326">
        <v>1</v>
      </c>
      <c r="C50" s="326">
        <v>2</v>
      </c>
      <c r="D50" s="326">
        <v>2</v>
      </c>
      <c r="E50" s="326" t="s">
        <v>643</v>
      </c>
      <c r="F50" s="328" t="s">
        <v>644</v>
      </c>
      <c r="G50" s="344"/>
      <c r="H50" s="27"/>
      <c r="I50" s="27"/>
      <c r="J50" s="27"/>
      <c r="K50" s="27"/>
      <c r="L50" s="27"/>
      <c r="M50" s="27"/>
      <c r="N50" s="343">
        <f t="shared" si="15"/>
        <v>0</v>
      </c>
      <c r="O50" s="346">
        <f t="shared" si="14"/>
        <v>0</v>
      </c>
    </row>
    <row r="51" spans="1:15" ht="12.75" x14ac:dyDescent="0.2">
      <c r="A51" s="325">
        <v>2</v>
      </c>
      <c r="B51" s="326">
        <v>1</v>
      </c>
      <c r="C51" s="326">
        <v>2</v>
      </c>
      <c r="D51" s="326">
        <v>2</v>
      </c>
      <c r="E51" s="326" t="s">
        <v>623</v>
      </c>
      <c r="F51" s="328" t="s">
        <v>645</v>
      </c>
      <c r="G51" s="27"/>
      <c r="H51" s="27"/>
      <c r="I51" s="27"/>
      <c r="J51" s="27"/>
      <c r="K51" s="27"/>
      <c r="L51" s="27"/>
      <c r="M51" s="27"/>
      <c r="N51" s="343">
        <f t="shared" si="15"/>
        <v>0</v>
      </c>
      <c r="O51" s="346">
        <f t="shared" si="14"/>
        <v>0</v>
      </c>
    </row>
    <row r="52" spans="1:15" ht="12.75" x14ac:dyDescent="0.2">
      <c r="A52" s="325">
        <v>2</v>
      </c>
      <c r="B52" s="326">
        <v>1</v>
      </c>
      <c r="C52" s="326">
        <v>2</v>
      </c>
      <c r="D52" s="326">
        <v>2</v>
      </c>
      <c r="E52" s="326" t="s">
        <v>625</v>
      </c>
      <c r="F52" s="328" t="s">
        <v>646</v>
      </c>
      <c r="G52" s="27"/>
      <c r="H52" s="27"/>
      <c r="I52" s="27"/>
      <c r="J52" s="27"/>
      <c r="K52" s="27"/>
      <c r="L52" s="27"/>
      <c r="M52" s="27"/>
      <c r="N52" s="343">
        <f t="shared" si="15"/>
        <v>0</v>
      </c>
      <c r="O52" s="346">
        <f t="shared" si="14"/>
        <v>0</v>
      </c>
    </row>
    <row r="53" spans="1:15" ht="12.75" x14ac:dyDescent="0.2">
      <c r="A53" s="325">
        <v>2</v>
      </c>
      <c r="B53" s="326">
        <v>1</v>
      </c>
      <c r="C53" s="326">
        <v>2</v>
      </c>
      <c r="D53" s="326">
        <v>2</v>
      </c>
      <c r="E53" s="326" t="s">
        <v>647</v>
      </c>
      <c r="F53" s="330" t="s">
        <v>648</v>
      </c>
      <c r="G53" s="27"/>
      <c r="H53" s="27"/>
      <c r="I53" s="27"/>
      <c r="J53" s="27"/>
      <c r="K53" s="27"/>
      <c r="L53" s="27"/>
      <c r="M53" s="27"/>
      <c r="N53" s="343">
        <f t="shared" si="15"/>
        <v>0</v>
      </c>
      <c r="O53" s="346">
        <f t="shared" si="14"/>
        <v>0</v>
      </c>
    </row>
    <row r="54" spans="1:15" ht="12.75" x14ac:dyDescent="0.2">
      <c r="A54" s="319">
        <v>2</v>
      </c>
      <c r="B54" s="320">
        <v>1</v>
      </c>
      <c r="C54" s="320">
        <v>3</v>
      </c>
      <c r="D54" s="320"/>
      <c r="E54" s="320"/>
      <c r="F54" s="321" t="s">
        <v>649</v>
      </c>
      <c r="G54" s="32">
        <f>+G55</f>
        <v>0</v>
      </c>
      <c r="H54" s="32">
        <f t="shared" ref="H54:O54" si="16">+H55</f>
        <v>0</v>
      </c>
      <c r="I54" s="32">
        <f t="shared" si="16"/>
        <v>0</v>
      </c>
      <c r="J54" s="32">
        <f t="shared" si="16"/>
        <v>0</v>
      </c>
      <c r="K54" s="32">
        <f t="shared" si="16"/>
        <v>0</v>
      </c>
      <c r="L54" s="32">
        <f t="shared" si="16"/>
        <v>0</v>
      </c>
      <c r="M54" s="32">
        <f t="shared" si="16"/>
        <v>0</v>
      </c>
      <c r="N54" s="32">
        <f t="shared" si="16"/>
        <v>0</v>
      </c>
      <c r="O54" s="32">
        <f t="shared" si="16"/>
        <v>0</v>
      </c>
    </row>
    <row r="55" spans="1:15" ht="12.75" x14ac:dyDescent="0.2">
      <c r="A55" s="322">
        <v>2</v>
      </c>
      <c r="B55" s="323">
        <v>1</v>
      </c>
      <c r="C55" s="323">
        <v>3</v>
      </c>
      <c r="D55" s="323">
        <v>2</v>
      </c>
      <c r="E55" s="323"/>
      <c r="F55" s="331" t="s">
        <v>650</v>
      </c>
      <c r="G55" s="30">
        <f>SUM(G56:G57)</f>
        <v>0</v>
      </c>
      <c r="H55" s="30">
        <f t="shared" ref="H55:O55" si="17">SUM(H56:H57)</f>
        <v>0</v>
      </c>
      <c r="I55" s="30">
        <f t="shared" si="17"/>
        <v>0</v>
      </c>
      <c r="J55" s="30">
        <f t="shared" si="17"/>
        <v>0</v>
      </c>
      <c r="K55" s="30">
        <f t="shared" si="17"/>
        <v>0</v>
      </c>
      <c r="L55" s="30">
        <f t="shared" si="17"/>
        <v>0</v>
      </c>
      <c r="M55" s="30">
        <f t="shared" si="17"/>
        <v>0</v>
      </c>
      <c r="N55" s="30">
        <f t="shared" si="17"/>
        <v>0</v>
      </c>
      <c r="O55" s="54">
        <f t="shared" si="17"/>
        <v>0</v>
      </c>
    </row>
    <row r="56" spans="1:15" ht="12.75" x14ac:dyDescent="0.2">
      <c r="A56" s="332">
        <v>2</v>
      </c>
      <c r="B56" s="326">
        <v>1</v>
      </c>
      <c r="C56" s="326">
        <v>3</v>
      </c>
      <c r="D56" s="326">
        <v>2</v>
      </c>
      <c r="E56" s="326" t="s">
        <v>610</v>
      </c>
      <c r="F56" s="333" t="s">
        <v>651</v>
      </c>
      <c r="G56" s="27"/>
      <c r="H56" s="27"/>
      <c r="I56" s="27"/>
      <c r="J56" s="27"/>
      <c r="K56" s="27"/>
      <c r="L56" s="27"/>
      <c r="M56" s="27"/>
      <c r="N56" s="343">
        <f>SUBTOTAL(9,G56:M56)</f>
        <v>0</v>
      </c>
      <c r="O56" s="346">
        <f>IFERROR(N56/$N$18*100,"0.00")</f>
        <v>0</v>
      </c>
    </row>
    <row r="57" spans="1:15" ht="12.75" x14ac:dyDescent="0.2">
      <c r="A57" s="332">
        <v>2</v>
      </c>
      <c r="B57" s="326">
        <v>1</v>
      </c>
      <c r="C57" s="326">
        <v>3</v>
      </c>
      <c r="D57" s="326">
        <v>2</v>
      </c>
      <c r="E57" s="326" t="s">
        <v>612</v>
      </c>
      <c r="F57" s="333" t="s">
        <v>652</v>
      </c>
      <c r="G57" s="27"/>
      <c r="H57" s="27"/>
      <c r="I57" s="27"/>
      <c r="J57" s="27"/>
      <c r="K57" s="27"/>
      <c r="L57" s="27"/>
      <c r="M57" s="27"/>
      <c r="N57" s="343">
        <f>SUBTOTAL(9,G57:M57)</f>
        <v>0</v>
      </c>
      <c r="O57" s="346">
        <f>IFERROR(N57/$N$18*100,"0.00")</f>
        <v>0</v>
      </c>
    </row>
    <row r="58" spans="1:15" ht="12.75" x14ac:dyDescent="0.2">
      <c r="A58" s="319">
        <v>2</v>
      </c>
      <c r="B58" s="320">
        <v>1</v>
      </c>
      <c r="C58" s="320">
        <v>5</v>
      </c>
      <c r="D58" s="320"/>
      <c r="E58" s="320"/>
      <c r="F58" s="321" t="s">
        <v>653</v>
      </c>
      <c r="G58" s="32">
        <f>G59+G61+G63+G65</f>
        <v>0</v>
      </c>
      <c r="H58" s="32">
        <f t="shared" ref="H58:O58" si="18">H59+H61+H63+H65</f>
        <v>0</v>
      </c>
      <c r="I58" s="32">
        <f t="shared" si="18"/>
        <v>0</v>
      </c>
      <c r="J58" s="32">
        <f t="shared" si="18"/>
        <v>0</v>
      </c>
      <c r="K58" s="32">
        <f t="shared" si="18"/>
        <v>0</v>
      </c>
      <c r="L58" s="32">
        <f t="shared" si="18"/>
        <v>0</v>
      </c>
      <c r="M58" s="32">
        <f t="shared" si="18"/>
        <v>0</v>
      </c>
      <c r="N58" s="32">
        <f t="shared" si="18"/>
        <v>0</v>
      </c>
      <c r="O58" s="32">
        <f t="shared" si="18"/>
        <v>0</v>
      </c>
    </row>
    <row r="59" spans="1:15" ht="12.75" x14ac:dyDescent="0.2">
      <c r="A59" s="322">
        <v>2</v>
      </c>
      <c r="B59" s="323">
        <v>1</v>
      </c>
      <c r="C59" s="323">
        <v>5</v>
      </c>
      <c r="D59" s="323">
        <v>1</v>
      </c>
      <c r="E59" s="323"/>
      <c r="F59" s="324" t="s">
        <v>654</v>
      </c>
      <c r="G59" s="30">
        <f>G60</f>
        <v>0</v>
      </c>
      <c r="H59" s="30">
        <f t="shared" ref="H59:O59" si="19">H60</f>
        <v>0</v>
      </c>
      <c r="I59" s="30">
        <f t="shared" si="19"/>
        <v>0</v>
      </c>
      <c r="J59" s="30">
        <f t="shared" si="19"/>
        <v>0</v>
      </c>
      <c r="K59" s="30">
        <f t="shared" si="19"/>
        <v>0</v>
      </c>
      <c r="L59" s="30">
        <f t="shared" si="19"/>
        <v>0</v>
      </c>
      <c r="M59" s="30">
        <f t="shared" si="19"/>
        <v>0</v>
      </c>
      <c r="N59" s="30">
        <f t="shared" si="19"/>
        <v>0</v>
      </c>
      <c r="O59" s="54">
        <f t="shared" si="19"/>
        <v>0</v>
      </c>
    </row>
    <row r="60" spans="1:15" ht="12.75" x14ac:dyDescent="0.2">
      <c r="A60" s="325">
        <v>2</v>
      </c>
      <c r="B60" s="326">
        <v>1</v>
      </c>
      <c r="C60" s="326">
        <v>5</v>
      </c>
      <c r="D60" s="326">
        <v>1</v>
      </c>
      <c r="E60" s="326" t="s">
        <v>610</v>
      </c>
      <c r="F60" s="328" t="s">
        <v>654</v>
      </c>
      <c r="G60" s="27"/>
      <c r="H60" s="27"/>
      <c r="I60" s="27"/>
      <c r="J60" s="27"/>
      <c r="K60" s="27"/>
      <c r="L60" s="27"/>
      <c r="M60" s="27"/>
      <c r="N60" s="343">
        <f>SUBTOTAL(9,G60:M60)</f>
        <v>0</v>
      </c>
      <c r="O60" s="346">
        <f>IFERROR(N60/$N$18*100,"0.00")</f>
        <v>0</v>
      </c>
    </row>
    <row r="61" spans="1:15" ht="12.75" x14ac:dyDescent="0.2">
      <c r="A61" s="322">
        <v>2</v>
      </c>
      <c r="B61" s="323">
        <v>1</v>
      </c>
      <c r="C61" s="323">
        <v>5</v>
      </c>
      <c r="D61" s="323">
        <v>2</v>
      </c>
      <c r="E61" s="323"/>
      <c r="F61" s="331" t="s">
        <v>655</v>
      </c>
      <c r="G61" s="30">
        <f>G62</f>
        <v>0</v>
      </c>
      <c r="H61" s="29">
        <f t="shared" ref="H61:O61" si="20">H62</f>
        <v>0</v>
      </c>
      <c r="I61" s="29">
        <f t="shared" si="20"/>
        <v>0</v>
      </c>
      <c r="J61" s="29">
        <f t="shared" si="20"/>
        <v>0</v>
      </c>
      <c r="K61" s="29">
        <f t="shared" si="20"/>
        <v>0</v>
      </c>
      <c r="L61" s="29">
        <f t="shared" si="20"/>
        <v>0</v>
      </c>
      <c r="M61" s="29">
        <f t="shared" si="20"/>
        <v>0</v>
      </c>
      <c r="N61" s="29">
        <f t="shared" si="20"/>
        <v>0</v>
      </c>
      <c r="O61" s="53">
        <f t="shared" si="20"/>
        <v>0</v>
      </c>
    </row>
    <row r="62" spans="1:15" ht="12.75" x14ac:dyDescent="0.2">
      <c r="A62" s="325">
        <v>2</v>
      </c>
      <c r="B62" s="326">
        <v>1</v>
      </c>
      <c r="C62" s="326">
        <v>5</v>
      </c>
      <c r="D62" s="326">
        <v>2</v>
      </c>
      <c r="E62" s="326" t="s">
        <v>610</v>
      </c>
      <c r="F62" s="328" t="s">
        <v>655</v>
      </c>
      <c r="G62" s="27"/>
      <c r="H62" s="27"/>
      <c r="I62" s="27"/>
      <c r="J62" s="27"/>
      <c r="K62" s="27"/>
      <c r="L62" s="27"/>
      <c r="M62" s="27"/>
      <c r="N62" s="343">
        <f>SUBTOTAL(9,G62:M62)</f>
        <v>0</v>
      </c>
      <c r="O62" s="346">
        <f>IFERROR(N62/$N$18*100,"0.00")</f>
        <v>0</v>
      </c>
    </row>
    <row r="63" spans="1:15" ht="12.75" x14ac:dyDescent="0.2">
      <c r="A63" s="322">
        <v>2</v>
      </c>
      <c r="B63" s="323">
        <v>1</v>
      </c>
      <c r="C63" s="323">
        <v>5</v>
      </c>
      <c r="D63" s="323">
        <v>3</v>
      </c>
      <c r="E63" s="323"/>
      <c r="F63" s="331" t="s">
        <v>656</v>
      </c>
      <c r="G63" s="30">
        <f>G64</f>
        <v>0</v>
      </c>
      <c r="H63" s="30">
        <f t="shared" ref="H63:O63" si="21">H64</f>
        <v>0</v>
      </c>
      <c r="I63" s="30">
        <f t="shared" si="21"/>
        <v>0</v>
      </c>
      <c r="J63" s="30">
        <f t="shared" si="21"/>
        <v>0</v>
      </c>
      <c r="K63" s="30">
        <f t="shared" si="21"/>
        <v>0</v>
      </c>
      <c r="L63" s="30">
        <f t="shared" si="21"/>
        <v>0</v>
      </c>
      <c r="M63" s="30">
        <f t="shared" si="21"/>
        <v>0</v>
      </c>
      <c r="N63" s="30">
        <f t="shared" si="21"/>
        <v>0</v>
      </c>
      <c r="O63" s="53">
        <f t="shared" si="21"/>
        <v>0</v>
      </c>
    </row>
    <row r="64" spans="1:15" ht="12.75" x14ac:dyDescent="0.2">
      <c r="A64" s="325">
        <v>2</v>
      </c>
      <c r="B64" s="326">
        <v>1</v>
      </c>
      <c r="C64" s="326">
        <v>5</v>
      </c>
      <c r="D64" s="326">
        <v>3</v>
      </c>
      <c r="E64" s="326" t="s">
        <v>610</v>
      </c>
      <c r="F64" s="328" t="s">
        <v>656</v>
      </c>
      <c r="G64" s="27"/>
      <c r="H64" s="27"/>
      <c r="I64" s="27"/>
      <c r="J64" s="27"/>
      <c r="K64" s="27"/>
      <c r="L64" s="27"/>
      <c r="M64" s="27"/>
      <c r="N64" s="344">
        <f>SUBTOTAL(9,G64:M64)</f>
        <v>0</v>
      </c>
      <c r="O64" s="345">
        <f>IFERROR(N64/$N$18*100,"0.00")</f>
        <v>0</v>
      </c>
    </row>
    <row r="65" spans="1:15" ht="12.75" x14ac:dyDescent="0.2">
      <c r="A65" s="322">
        <v>2</v>
      </c>
      <c r="B65" s="323">
        <v>1</v>
      </c>
      <c r="C65" s="323">
        <v>5</v>
      </c>
      <c r="D65" s="323">
        <v>4</v>
      </c>
      <c r="E65" s="323"/>
      <c r="F65" s="331" t="s">
        <v>657</v>
      </c>
      <c r="G65" s="30">
        <f>G66</f>
        <v>0</v>
      </c>
      <c r="H65" s="30">
        <f t="shared" ref="H65:O65" si="22">H66</f>
        <v>0</v>
      </c>
      <c r="I65" s="30">
        <f t="shared" si="22"/>
        <v>0</v>
      </c>
      <c r="J65" s="30">
        <f t="shared" si="22"/>
        <v>0</v>
      </c>
      <c r="K65" s="30">
        <f t="shared" si="22"/>
        <v>0</v>
      </c>
      <c r="L65" s="30">
        <f t="shared" si="22"/>
        <v>0</v>
      </c>
      <c r="M65" s="30">
        <f t="shared" si="22"/>
        <v>0</v>
      </c>
      <c r="N65" s="30">
        <f t="shared" si="22"/>
        <v>0</v>
      </c>
      <c r="O65" s="53">
        <f t="shared" si="22"/>
        <v>0</v>
      </c>
    </row>
    <row r="66" spans="1:15" ht="12.75" x14ac:dyDescent="0.2">
      <c r="A66" s="325">
        <v>2</v>
      </c>
      <c r="B66" s="326">
        <v>1</v>
      </c>
      <c r="C66" s="326">
        <v>5</v>
      </c>
      <c r="D66" s="326">
        <v>4</v>
      </c>
      <c r="E66" s="326" t="s">
        <v>610</v>
      </c>
      <c r="F66" s="328" t="s">
        <v>657</v>
      </c>
      <c r="G66" s="27"/>
      <c r="H66" s="27"/>
      <c r="I66" s="27"/>
      <c r="J66" s="27"/>
      <c r="K66" s="27"/>
      <c r="L66" s="27"/>
      <c r="M66" s="27"/>
      <c r="N66" s="343">
        <f>SUBTOTAL(9,G66:M66)</f>
        <v>0</v>
      </c>
      <c r="O66" s="346">
        <f>IFERROR(N66/$N$18*100,"0.00")</f>
        <v>0</v>
      </c>
    </row>
    <row r="67" spans="1:15" ht="12.75" x14ac:dyDescent="0.2">
      <c r="A67" s="315">
        <v>2</v>
      </c>
      <c r="B67" s="316">
        <v>2</v>
      </c>
      <c r="C67" s="317"/>
      <c r="D67" s="317"/>
      <c r="E67" s="317"/>
      <c r="F67" s="318" t="s">
        <v>658</v>
      </c>
      <c r="G67" s="33">
        <f>+G68+G82+G87+G92+G99+G116+G125+G143</f>
        <v>379000</v>
      </c>
      <c r="H67" s="33">
        <f t="shared" ref="H67:N67" si="23">+H68+H82+H87+H92+H99+H116+H125+H143</f>
        <v>460000</v>
      </c>
      <c r="I67" s="33">
        <f t="shared" si="23"/>
        <v>880000</v>
      </c>
      <c r="J67" s="33">
        <f t="shared" si="23"/>
        <v>538000</v>
      </c>
      <c r="K67" s="33">
        <f t="shared" si="23"/>
        <v>66000</v>
      </c>
      <c r="L67" s="33">
        <f t="shared" si="23"/>
        <v>0</v>
      </c>
      <c r="M67" s="33">
        <f t="shared" si="23"/>
        <v>9031805.8800000008</v>
      </c>
      <c r="N67" s="33">
        <f t="shared" si="23"/>
        <v>11354805.880000001</v>
      </c>
      <c r="O67" s="33">
        <f>+O68+O82+O87+O92+O99+O116+O125+O143</f>
        <v>2.4189808380732392</v>
      </c>
    </row>
    <row r="68" spans="1:15" ht="12.75" x14ac:dyDescent="0.2">
      <c r="A68" s="319">
        <v>2</v>
      </c>
      <c r="B68" s="320">
        <v>2</v>
      </c>
      <c r="C68" s="320">
        <v>1</v>
      </c>
      <c r="D68" s="320"/>
      <c r="E68" s="320"/>
      <c r="F68" s="321" t="s">
        <v>659</v>
      </c>
      <c r="G68" s="32">
        <f>+G69+G71+G73+G75+G78+G80</f>
        <v>49000</v>
      </c>
      <c r="H68" s="32">
        <f t="shared" ref="H68:N68" si="24">+H69+H71+H73+H75+H78+H80</f>
        <v>196000</v>
      </c>
      <c r="I68" s="32">
        <f t="shared" si="24"/>
        <v>0</v>
      </c>
      <c r="J68" s="32">
        <f t="shared" si="24"/>
        <v>98000</v>
      </c>
      <c r="K68" s="32">
        <f t="shared" si="24"/>
        <v>0</v>
      </c>
      <c r="L68" s="32">
        <f t="shared" si="24"/>
        <v>0</v>
      </c>
      <c r="M68" s="32">
        <f t="shared" si="24"/>
        <v>1313774</v>
      </c>
      <c r="N68" s="32">
        <f t="shared" si="24"/>
        <v>1656774</v>
      </c>
      <c r="O68" s="32">
        <f>+O69+O71+O73+O75+O78+O80</f>
        <v>0.3529522742504122</v>
      </c>
    </row>
    <row r="69" spans="1:15" ht="12.75" x14ac:dyDescent="0.2">
      <c r="A69" s="322">
        <v>2</v>
      </c>
      <c r="B69" s="323">
        <v>2</v>
      </c>
      <c r="C69" s="323">
        <v>1</v>
      </c>
      <c r="D69" s="323">
        <v>2</v>
      </c>
      <c r="E69" s="323"/>
      <c r="F69" s="324" t="s">
        <v>660</v>
      </c>
      <c r="G69" s="30">
        <f>G70</f>
        <v>0</v>
      </c>
      <c r="H69" s="30">
        <f t="shared" ref="H69:O69" si="25">H70</f>
        <v>0</v>
      </c>
      <c r="I69" s="30">
        <f t="shared" si="25"/>
        <v>0</v>
      </c>
      <c r="J69" s="30">
        <f t="shared" si="25"/>
        <v>0</v>
      </c>
      <c r="K69" s="30">
        <f t="shared" si="25"/>
        <v>0</v>
      </c>
      <c r="L69" s="30">
        <f t="shared" si="25"/>
        <v>0</v>
      </c>
      <c r="M69" s="30">
        <f t="shared" si="25"/>
        <v>0</v>
      </c>
      <c r="N69" s="30">
        <f>N70</f>
        <v>0</v>
      </c>
      <c r="O69" s="53">
        <f t="shared" si="25"/>
        <v>0</v>
      </c>
    </row>
    <row r="70" spans="1:15" ht="12.75" x14ac:dyDescent="0.2">
      <c r="A70" s="332">
        <v>2</v>
      </c>
      <c r="B70" s="326">
        <v>2</v>
      </c>
      <c r="C70" s="326">
        <v>1</v>
      </c>
      <c r="D70" s="326">
        <v>2</v>
      </c>
      <c r="E70" s="326" t="s">
        <v>610</v>
      </c>
      <c r="F70" s="333" t="s">
        <v>660</v>
      </c>
      <c r="G70" s="27"/>
      <c r="H70" s="27"/>
      <c r="I70" s="27"/>
      <c r="J70" s="27"/>
      <c r="K70" s="27"/>
      <c r="L70" s="27"/>
      <c r="M70" s="27"/>
      <c r="N70" s="344">
        <f>SUBTOTAL(9,G70:M70)</f>
        <v>0</v>
      </c>
      <c r="O70" s="346">
        <f>IFERROR(N70/$N$18*100,"0.00")</f>
        <v>0</v>
      </c>
    </row>
    <row r="71" spans="1:15" ht="12.75" x14ac:dyDescent="0.2">
      <c r="A71" s="322">
        <v>2</v>
      </c>
      <c r="B71" s="323">
        <v>2</v>
      </c>
      <c r="C71" s="323">
        <v>1</v>
      </c>
      <c r="D71" s="323">
        <v>3</v>
      </c>
      <c r="E71" s="323"/>
      <c r="F71" s="324" t="s">
        <v>661</v>
      </c>
      <c r="G71" s="30">
        <f>G72</f>
        <v>49000</v>
      </c>
      <c r="H71" s="29">
        <f t="shared" ref="H71:O71" si="26">H72</f>
        <v>196000</v>
      </c>
      <c r="I71" s="29">
        <f t="shared" si="26"/>
        <v>0</v>
      </c>
      <c r="J71" s="29">
        <f t="shared" si="26"/>
        <v>98000</v>
      </c>
      <c r="K71" s="29">
        <f t="shared" si="26"/>
        <v>0</v>
      </c>
      <c r="L71" s="29">
        <f t="shared" si="26"/>
        <v>0</v>
      </c>
      <c r="M71" s="29">
        <f t="shared" si="26"/>
        <v>147000</v>
      </c>
      <c r="N71" s="29">
        <f>N72</f>
        <v>490000</v>
      </c>
      <c r="O71" s="53">
        <f t="shared" si="26"/>
        <v>0.10438757149901072</v>
      </c>
    </row>
    <row r="72" spans="1:15" ht="12.75" x14ac:dyDescent="0.2">
      <c r="A72" s="325">
        <v>2</v>
      </c>
      <c r="B72" s="326">
        <v>2</v>
      </c>
      <c r="C72" s="326">
        <v>1</v>
      </c>
      <c r="D72" s="326">
        <v>3</v>
      </c>
      <c r="E72" s="326" t="s">
        <v>610</v>
      </c>
      <c r="F72" s="328" t="s">
        <v>661</v>
      </c>
      <c r="G72" s="27">
        <v>49000</v>
      </c>
      <c r="H72" s="27">
        <v>196000</v>
      </c>
      <c r="I72" s="27"/>
      <c r="J72" s="27">
        <v>98000</v>
      </c>
      <c r="K72" s="27"/>
      <c r="L72" s="27"/>
      <c r="M72" s="27">
        <v>147000</v>
      </c>
      <c r="N72" s="343">
        <f>SUBTOTAL(9,G72:M72)</f>
        <v>490000</v>
      </c>
      <c r="O72" s="346">
        <f>IFERROR(N72/$N$18*100,"0.00")</f>
        <v>0.10438757149901072</v>
      </c>
    </row>
    <row r="73" spans="1:15" ht="12.75" x14ac:dyDescent="0.2">
      <c r="A73" s="322">
        <v>2</v>
      </c>
      <c r="B73" s="323">
        <v>2</v>
      </c>
      <c r="C73" s="323">
        <v>1</v>
      </c>
      <c r="D73" s="323">
        <v>5</v>
      </c>
      <c r="E73" s="323"/>
      <c r="F73" s="324" t="s">
        <v>662</v>
      </c>
      <c r="G73" s="30">
        <f>G74</f>
        <v>0</v>
      </c>
      <c r="H73" s="30">
        <f t="shared" ref="H73:O73" si="27">H74</f>
        <v>0</v>
      </c>
      <c r="I73" s="30">
        <f t="shared" si="27"/>
        <v>0</v>
      </c>
      <c r="J73" s="30">
        <f t="shared" si="27"/>
        <v>0</v>
      </c>
      <c r="K73" s="30">
        <f t="shared" si="27"/>
        <v>0</v>
      </c>
      <c r="L73" s="30">
        <f t="shared" si="27"/>
        <v>0</v>
      </c>
      <c r="M73" s="30">
        <f t="shared" si="27"/>
        <v>0</v>
      </c>
      <c r="N73" s="30">
        <f t="shared" si="27"/>
        <v>0</v>
      </c>
      <c r="O73" s="53">
        <f t="shared" si="27"/>
        <v>0</v>
      </c>
    </row>
    <row r="74" spans="1:15" ht="12.75" x14ac:dyDescent="0.2">
      <c r="A74" s="332">
        <v>2</v>
      </c>
      <c r="B74" s="326">
        <v>2</v>
      </c>
      <c r="C74" s="326">
        <v>1</v>
      </c>
      <c r="D74" s="326">
        <v>5</v>
      </c>
      <c r="E74" s="326" t="s">
        <v>610</v>
      </c>
      <c r="F74" s="333" t="s">
        <v>662</v>
      </c>
      <c r="G74" s="27"/>
      <c r="H74" s="27"/>
      <c r="I74" s="27"/>
      <c r="J74" s="27"/>
      <c r="K74" s="27"/>
      <c r="L74" s="27"/>
      <c r="M74" s="27"/>
      <c r="N74" s="343">
        <f>SUBTOTAL(9,G74:M74)</f>
        <v>0</v>
      </c>
      <c r="O74" s="346">
        <f>IFERROR(N74/$N$18*100,"0.00")</f>
        <v>0</v>
      </c>
    </row>
    <row r="75" spans="1:15" ht="12.75" x14ac:dyDescent="0.2">
      <c r="A75" s="322">
        <v>2</v>
      </c>
      <c r="B75" s="323">
        <v>2</v>
      </c>
      <c r="C75" s="323">
        <v>1</v>
      </c>
      <c r="D75" s="323">
        <v>6</v>
      </c>
      <c r="E75" s="323"/>
      <c r="F75" s="324" t="s">
        <v>663</v>
      </c>
      <c r="G75" s="30">
        <f>G76+G77</f>
        <v>0</v>
      </c>
      <c r="H75" s="30">
        <f t="shared" ref="H75:M75" si="28">H76+H77</f>
        <v>0</v>
      </c>
      <c r="I75" s="30">
        <f t="shared" si="28"/>
        <v>0</v>
      </c>
      <c r="J75" s="30">
        <f t="shared" si="28"/>
        <v>0</v>
      </c>
      <c r="K75" s="30">
        <f t="shared" si="28"/>
        <v>0</v>
      </c>
      <c r="L75" s="30">
        <f t="shared" si="28"/>
        <v>0</v>
      </c>
      <c r="M75" s="30">
        <f t="shared" si="28"/>
        <v>0</v>
      </c>
      <c r="N75" s="30">
        <f>N76+N77</f>
        <v>0</v>
      </c>
      <c r="O75" s="53">
        <f>O76+O77</f>
        <v>0</v>
      </c>
    </row>
    <row r="76" spans="1:15" ht="12.75" x14ac:dyDescent="0.2">
      <c r="A76" s="332">
        <v>2</v>
      </c>
      <c r="B76" s="326">
        <v>2</v>
      </c>
      <c r="C76" s="326">
        <v>1</v>
      </c>
      <c r="D76" s="326">
        <v>6</v>
      </c>
      <c r="E76" s="326" t="s">
        <v>610</v>
      </c>
      <c r="F76" s="333" t="s">
        <v>664</v>
      </c>
      <c r="G76" s="27"/>
      <c r="H76" s="27"/>
      <c r="I76" s="27"/>
      <c r="J76" s="27"/>
      <c r="K76" s="27"/>
      <c r="L76" s="27"/>
      <c r="M76" s="27"/>
      <c r="N76" s="343">
        <f>SUBTOTAL(9,G76:M76)</f>
        <v>0</v>
      </c>
      <c r="O76" s="346">
        <f>IFERROR(N76/$N$18*100,"0.00")</f>
        <v>0</v>
      </c>
    </row>
    <row r="77" spans="1:15" ht="12.75" x14ac:dyDescent="0.2">
      <c r="A77" s="332">
        <v>2</v>
      </c>
      <c r="B77" s="326">
        <v>2</v>
      </c>
      <c r="C77" s="326">
        <v>1</v>
      </c>
      <c r="D77" s="326">
        <v>6</v>
      </c>
      <c r="E77" s="326" t="s">
        <v>612</v>
      </c>
      <c r="F77" s="333" t="s">
        <v>665</v>
      </c>
      <c r="G77" s="27"/>
      <c r="H77" s="27"/>
      <c r="I77" s="27"/>
      <c r="J77" s="27"/>
      <c r="K77" s="27"/>
      <c r="L77" s="27"/>
      <c r="M77" s="27"/>
      <c r="N77" s="343">
        <f>SUBTOTAL(9,G77:M77)</f>
        <v>0</v>
      </c>
      <c r="O77" s="346">
        <f>IFERROR(N77/$N$18*100,"0.00")</f>
        <v>0</v>
      </c>
    </row>
    <row r="78" spans="1:15" ht="12.75" x14ac:dyDescent="0.2">
      <c r="A78" s="322">
        <v>2</v>
      </c>
      <c r="B78" s="323">
        <v>2</v>
      </c>
      <c r="C78" s="323">
        <v>1</v>
      </c>
      <c r="D78" s="323">
        <v>7</v>
      </c>
      <c r="E78" s="323"/>
      <c r="F78" s="324" t="s">
        <v>666</v>
      </c>
      <c r="G78" s="30">
        <f>G79</f>
        <v>0</v>
      </c>
      <c r="H78" s="30">
        <f t="shared" ref="H78:O78" si="29">H79</f>
        <v>0</v>
      </c>
      <c r="I78" s="30">
        <f t="shared" si="29"/>
        <v>0</v>
      </c>
      <c r="J78" s="30">
        <f t="shared" si="29"/>
        <v>0</v>
      </c>
      <c r="K78" s="30">
        <f t="shared" si="29"/>
        <v>0</v>
      </c>
      <c r="L78" s="30">
        <f t="shared" si="29"/>
        <v>0</v>
      </c>
      <c r="M78" s="30">
        <f t="shared" si="29"/>
        <v>86774</v>
      </c>
      <c r="N78" s="30">
        <f t="shared" si="29"/>
        <v>86774</v>
      </c>
      <c r="O78" s="53">
        <f t="shared" si="29"/>
        <v>1.8485973733173788E-2</v>
      </c>
    </row>
    <row r="79" spans="1:15" ht="12.75" x14ac:dyDescent="0.2">
      <c r="A79" s="332">
        <v>2</v>
      </c>
      <c r="B79" s="326">
        <v>2</v>
      </c>
      <c r="C79" s="326">
        <v>1</v>
      </c>
      <c r="D79" s="326">
        <v>7</v>
      </c>
      <c r="E79" s="326" t="s">
        <v>610</v>
      </c>
      <c r="F79" s="333" t="s">
        <v>666</v>
      </c>
      <c r="G79" s="27"/>
      <c r="H79" s="27"/>
      <c r="I79" s="27"/>
      <c r="J79" s="27"/>
      <c r="K79" s="27"/>
      <c r="L79" s="27"/>
      <c r="M79" s="27">
        <v>86774</v>
      </c>
      <c r="N79" s="343">
        <f>SUBTOTAL(9,G79:M79)</f>
        <v>86774</v>
      </c>
      <c r="O79" s="345">
        <f>IFERROR(N79/$N$18*100,"0.00")</f>
        <v>1.8485973733173788E-2</v>
      </c>
    </row>
    <row r="80" spans="1:15" ht="12.75" x14ac:dyDescent="0.2">
      <c r="A80" s="322">
        <v>2</v>
      </c>
      <c r="B80" s="323">
        <v>2</v>
      </c>
      <c r="C80" s="323">
        <v>1</v>
      </c>
      <c r="D80" s="323">
        <v>8</v>
      </c>
      <c r="E80" s="323"/>
      <c r="F80" s="324" t="s">
        <v>667</v>
      </c>
      <c r="G80" s="30">
        <f>G81</f>
        <v>0</v>
      </c>
      <c r="H80" s="30">
        <f t="shared" ref="H80:M80" si="30">H81</f>
        <v>0</v>
      </c>
      <c r="I80" s="30">
        <f t="shared" si="30"/>
        <v>0</v>
      </c>
      <c r="J80" s="30">
        <f t="shared" si="30"/>
        <v>0</v>
      </c>
      <c r="K80" s="30">
        <f t="shared" si="30"/>
        <v>0</v>
      </c>
      <c r="L80" s="30">
        <f t="shared" si="30"/>
        <v>0</v>
      </c>
      <c r="M80" s="30">
        <f t="shared" si="30"/>
        <v>1080000</v>
      </c>
      <c r="N80" s="30">
        <f>N81</f>
        <v>1080000</v>
      </c>
      <c r="O80" s="53">
        <f>O81</f>
        <v>0.23007872901822771</v>
      </c>
    </row>
    <row r="81" spans="1:15" ht="12.75" x14ac:dyDescent="0.2">
      <c r="A81" s="325">
        <v>2</v>
      </c>
      <c r="B81" s="326">
        <v>2</v>
      </c>
      <c r="C81" s="326">
        <v>1</v>
      </c>
      <c r="D81" s="326">
        <v>8</v>
      </c>
      <c r="E81" s="326" t="s">
        <v>610</v>
      </c>
      <c r="F81" s="328" t="s">
        <v>667</v>
      </c>
      <c r="G81" s="27"/>
      <c r="H81" s="27"/>
      <c r="I81" s="27"/>
      <c r="J81" s="27"/>
      <c r="K81" s="27"/>
      <c r="L81" s="27"/>
      <c r="M81" s="27">
        <v>1080000</v>
      </c>
      <c r="N81" s="344">
        <f>SUBTOTAL(9,G81:M81)</f>
        <v>1080000</v>
      </c>
      <c r="O81" s="345">
        <f>IFERROR(N81/$N$18*100,"0.00")</f>
        <v>0.23007872901822771</v>
      </c>
    </row>
    <row r="82" spans="1:15" ht="12.75" x14ac:dyDescent="0.2">
      <c r="A82" s="319">
        <v>2</v>
      </c>
      <c r="B82" s="320">
        <v>2</v>
      </c>
      <c r="C82" s="320">
        <v>2</v>
      </c>
      <c r="D82" s="320"/>
      <c r="E82" s="320"/>
      <c r="F82" s="321" t="s">
        <v>668</v>
      </c>
      <c r="G82" s="32">
        <f>+G83+G85</f>
        <v>330000</v>
      </c>
      <c r="H82" s="32">
        <f t="shared" ref="H82:O82" si="31">+H83+H85</f>
        <v>264000</v>
      </c>
      <c r="I82" s="32">
        <f t="shared" si="31"/>
        <v>880000</v>
      </c>
      <c r="J82" s="32">
        <f t="shared" si="31"/>
        <v>440000</v>
      </c>
      <c r="K82" s="32">
        <f t="shared" si="31"/>
        <v>66000</v>
      </c>
      <c r="L82" s="32">
        <f t="shared" si="31"/>
        <v>0</v>
      </c>
      <c r="M82" s="32">
        <f t="shared" si="31"/>
        <v>220000</v>
      </c>
      <c r="N82" s="32">
        <f>+N83+N85</f>
        <v>2200000</v>
      </c>
      <c r="O82" s="32">
        <f t="shared" si="31"/>
        <v>0.46867889244453798</v>
      </c>
    </row>
    <row r="83" spans="1:15" ht="12.75" x14ac:dyDescent="0.2">
      <c r="A83" s="322">
        <v>2</v>
      </c>
      <c r="B83" s="323">
        <v>2</v>
      </c>
      <c r="C83" s="323">
        <v>2</v>
      </c>
      <c r="D83" s="323">
        <v>1</v>
      </c>
      <c r="E83" s="323"/>
      <c r="F83" s="324" t="s">
        <v>669</v>
      </c>
      <c r="G83" s="30">
        <f>G84</f>
        <v>0</v>
      </c>
      <c r="H83" s="29">
        <f t="shared" ref="H83:O83" si="32">H84</f>
        <v>0</v>
      </c>
      <c r="I83" s="29">
        <f t="shared" si="32"/>
        <v>0</v>
      </c>
      <c r="J83" s="29">
        <f t="shared" si="32"/>
        <v>0</v>
      </c>
      <c r="K83" s="29">
        <f t="shared" si="32"/>
        <v>0</v>
      </c>
      <c r="L83" s="29">
        <f t="shared" si="32"/>
        <v>0</v>
      </c>
      <c r="M83" s="29">
        <f t="shared" si="32"/>
        <v>0</v>
      </c>
      <c r="N83" s="29">
        <f t="shared" si="32"/>
        <v>0</v>
      </c>
      <c r="O83" s="53">
        <f t="shared" si="32"/>
        <v>0</v>
      </c>
    </row>
    <row r="84" spans="1:15" ht="12.75" x14ac:dyDescent="0.2">
      <c r="A84" s="325">
        <v>2</v>
      </c>
      <c r="B84" s="326">
        <v>2</v>
      </c>
      <c r="C84" s="326">
        <v>2</v>
      </c>
      <c r="D84" s="326">
        <v>1</v>
      </c>
      <c r="E84" s="326" t="s">
        <v>610</v>
      </c>
      <c r="F84" s="328" t="s">
        <v>669</v>
      </c>
      <c r="G84" s="27"/>
      <c r="H84" s="27"/>
      <c r="I84" s="27"/>
      <c r="J84" s="27"/>
      <c r="K84" s="27"/>
      <c r="L84" s="27"/>
      <c r="M84" s="27"/>
      <c r="N84" s="343">
        <f>SUBTOTAL(9,G84:M84)</f>
        <v>0</v>
      </c>
      <c r="O84" s="346">
        <f>IFERROR(N84/$N$18*100,"0.00")</f>
        <v>0</v>
      </c>
    </row>
    <row r="85" spans="1:15" ht="12.75" x14ac:dyDescent="0.2">
      <c r="A85" s="322">
        <v>2</v>
      </c>
      <c r="B85" s="323">
        <v>2</v>
      </c>
      <c r="C85" s="323">
        <v>2</v>
      </c>
      <c r="D85" s="323">
        <v>2</v>
      </c>
      <c r="E85" s="323"/>
      <c r="F85" s="324" t="s">
        <v>670</v>
      </c>
      <c r="G85" s="30">
        <f>G86</f>
        <v>330000</v>
      </c>
      <c r="H85" s="29">
        <f t="shared" ref="H85:O85" si="33">H86</f>
        <v>264000</v>
      </c>
      <c r="I85" s="29">
        <f t="shared" si="33"/>
        <v>880000</v>
      </c>
      <c r="J85" s="29">
        <f t="shared" si="33"/>
        <v>440000</v>
      </c>
      <c r="K85" s="29">
        <f t="shared" si="33"/>
        <v>66000</v>
      </c>
      <c r="L85" s="29">
        <f t="shared" si="33"/>
        <v>0</v>
      </c>
      <c r="M85" s="29">
        <f t="shared" si="33"/>
        <v>220000</v>
      </c>
      <c r="N85" s="29">
        <f t="shared" si="33"/>
        <v>2200000</v>
      </c>
      <c r="O85" s="53">
        <f t="shared" si="33"/>
        <v>0.46867889244453798</v>
      </c>
    </row>
    <row r="86" spans="1:15" ht="12.75" x14ac:dyDescent="0.2">
      <c r="A86" s="325">
        <v>2</v>
      </c>
      <c r="B86" s="326">
        <v>2</v>
      </c>
      <c r="C86" s="326">
        <v>2</v>
      </c>
      <c r="D86" s="326">
        <v>2</v>
      </c>
      <c r="E86" s="326" t="s">
        <v>610</v>
      </c>
      <c r="F86" s="328" t="s">
        <v>670</v>
      </c>
      <c r="G86" s="27">
        <v>330000</v>
      </c>
      <c r="H86" s="27">
        <v>264000</v>
      </c>
      <c r="I86" s="27">
        <v>880000</v>
      </c>
      <c r="J86" s="27">
        <v>440000</v>
      </c>
      <c r="K86" s="27">
        <v>66000</v>
      </c>
      <c r="L86" s="27"/>
      <c r="M86" s="27">
        <v>220000</v>
      </c>
      <c r="N86" s="343">
        <f>SUBTOTAL(9,G86:M86)</f>
        <v>2200000</v>
      </c>
      <c r="O86" s="346">
        <f>IFERROR(N86/$N$18*100,"0.00")</f>
        <v>0.46867889244453798</v>
      </c>
    </row>
    <row r="87" spans="1:15" ht="12.75" x14ac:dyDescent="0.2">
      <c r="A87" s="319">
        <v>2</v>
      </c>
      <c r="B87" s="320">
        <v>2</v>
      </c>
      <c r="C87" s="320">
        <v>3</v>
      </c>
      <c r="D87" s="320"/>
      <c r="E87" s="320"/>
      <c r="F87" s="321" t="s">
        <v>671</v>
      </c>
      <c r="G87" s="32">
        <f t="shared" ref="G87:O87" si="34">+G88+G90</f>
        <v>0</v>
      </c>
      <c r="H87" s="32">
        <f t="shared" si="34"/>
        <v>0</v>
      </c>
      <c r="I87" s="32">
        <f t="shared" si="34"/>
        <v>0</v>
      </c>
      <c r="J87" s="32">
        <f t="shared" si="34"/>
        <v>0</v>
      </c>
      <c r="K87" s="32">
        <f t="shared" si="34"/>
        <v>0</v>
      </c>
      <c r="L87" s="32">
        <f t="shared" si="34"/>
        <v>0</v>
      </c>
      <c r="M87" s="32">
        <f t="shared" si="34"/>
        <v>0</v>
      </c>
      <c r="N87" s="32">
        <f t="shared" si="34"/>
        <v>0</v>
      </c>
      <c r="O87" s="32">
        <f t="shared" si="34"/>
        <v>0</v>
      </c>
    </row>
    <row r="88" spans="1:15" ht="12.75" x14ac:dyDescent="0.2">
      <c r="A88" s="322">
        <v>2</v>
      </c>
      <c r="B88" s="323">
        <v>2</v>
      </c>
      <c r="C88" s="323">
        <v>3</v>
      </c>
      <c r="D88" s="323">
        <v>1</v>
      </c>
      <c r="E88" s="323"/>
      <c r="F88" s="324" t="s">
        <v>672</v>
      </c>
      <c r="G88" s="30">
        <f>G89</f>
        <v>0</v>
      </c>
      <c r="H88" s="30">
        <f t="shared" ref="H88:O88" si="35">H89</f>
        <v>0</v>
      </c>
      <c r="I88" s="30">
        <f t="shared" si="35"/>
        <v>0</v>
      </c>
      <c r="J88" s="30">
        <f t="shared" si="35"/>
        <v>0</v>
      </c>
      <c r="K88" s="30">
        <f t="shared" si="35"/>
        <v>0</v>
      </c>
      <c r="L88" s="30">
        <f t="shared" si="35"/>
        <v>0</v>
      </c>
      <c r="M88" s="30">
        <f t="shared" si="35"/>
        <v>0</v>
      </c>
      <c r="N88" s="30">
        <f>N89</f>
        <v>0</v>
      </c>
      <c r="O88" s="54">
        <f t="shared" si="35"/>
        <v>0</v>
      </c>
    </row>
    <row r="89" spans="1:15" ht="12.75" x14ac:dyDescent="0.2">
      <c r="A89" s="325">
        <v>2</v>
      </c>
      <c r="B89" s="326">
        <v>2</v>
      </c>
      <c r="C89" s="326">
        <v>3</v>
      </c>
      <c r="D89" s="326">
        <v>1</v>
      </c>
      <c r="E89" s="326" t="s">
        <v>610</v>
      </c>
      <c r="F89" s="328" t="s">
        <v>672</v>
      </c>
      <c r="G89" s="27"/>
      <c r="H89" s="27"/>
      <c r="I89" s="27"/>
      <c r="J89" s="27"/>
      <c r="K89" s="27"/>
      <c r="L89" s="27"/>
      <c r="M89" s="27"/>
      <c r="N89" s="343">
        <f>SUBTOTAL(9,G89:M89)</f>
        <v>0</v>
      </c>
      <c r="O89" s="345">
        <f>IFERROR(N89/$N$18*100,"0.00")</f>
        <v>0</v>
      </c>
    </row>
    <row r="90" spans="1:15" ht="12.75" x14ac:dyDescent="0.2">
      <c r="A90" s="322">
        <v>2</v>
      </c>
      <c r="B90" s="323">
        <v>2</v>
      </c>
      <c r="C90" s="323">
        <v>3</v>
      </c>
      <c r="D90" s="323">
        <v>2</v>
      </c>
      <c r="E90" s="323"/>
      <c r="F90" s="324" t="s">
        <v>673</v>
      </c>
      <c r="G90" s="30">
        <f>G91</f>
        <v>0</v>
      </c>
      <c r="H90" s="30">
        <f t="shared" ref="H90:O90" si="36">H91</f>
        <v>0</v>
      </c>
      <c r="I90" s="30">
        <f t="shared" si="36"/>
        <v>0</v>
      </c>
      <c r="J90" s="30">
        <f t="shared" si="36"/>
        <v>0</v>
      </c>
      <c r="K90" s="30">
        <f t="shared" si="36"/>
        <v>0</v>
      </c>
      <c r="L90" s="30">
        <f t="shared" si="36"/>
        <v>0</v>
      </c>
      <c r="M90" s="30">
        <f t="shared" si="36"/>
        <v>0</v>
      </c>
      <c r="N90" s="30">
        <f t="shared" si="36"/>
        <v>0</v>
      </c>
      <c r="O90" s="53">
        <f t="shared" si="36"/>
        <v>0</v>
      </c>
    </row>
    <row r="91" spans="1:15" ht="12.75" x14ac:dyDescent="0.2">
      <c r="A91" s="332">
        <v>2</v>
      </c>
      <c r="B91" s="326">
        <v>2</v>
      </c>
      <c r="C91" s="326">
        <v>3</v>
      </c>
      <c r="D91" s="326">
        <v>2</v>
      </c>
      <c r="E91" s="326" t="s">
        <v>610</v>
      </c>
      <c r="F91" s="333" t="s">
        <v>673</v>
      </c>
      <c r="G91" s="27"/>
      <c r="H91" s="27"/>
      <c r="I91" s="27"/>
      <c r="J91" s="27"/>
      <c r="K91" s="27"/>
      <c r="L91" s="27"/>
      <c r="M91" s="27"/>
      <c r="N91" s="343">
        <f>SUBTOTAL(9,G91:M91)</f>
        <v>0</v>
      </c>
      <c r="O91" s="345">
        <f>IFERROR(N91/$N$18*100,"0.00")</f>
        <v>0</v>
      </c>
    </row>
    <row r="92" spans="1:15" ht="12.75" x14ac:dyDescent="0.2">
      <c r="A92" s="319">
        <v>2</v>
      </c>
      <c r="B92" s="320">
        <v>2</v>
      </c>
      <c r="C92" s="320">
        <v>4</v>
      </c>
      <c r="D92" s="320"/>
      <c r="E92" s="320"/>
      <c r="F92" s="321" t="s">
        <v>674</v>
      </c>
      <c r="G92" s="32">
        <f>+G93+G95+G97</f>
        <v>0</v>
      </c>
      <c r="H92" s="32">
        <f t="shared" ref="H92:O92" si="37">+H93+H95+H97</f>
        <v>0</v>
      </c>
      <c r="I92" s="32">
        <f t="shared" si="37"/>
        <v>0</v>
      </c>
      <c r="J92" s="32">
        <f t="shared" si="37"/>
        <v>0</v>
      </c>
      <c r="K92" s="32">
        <f t="shared" si="37"/>
        <v>0</v>
      </c>
      <c r="L92" s="32">
        <f t="shared" si="37"/>
        <v>0</v>
      </c>
      <c r="M92" s="32">
        <f t="shared" si="37"/>
        <v>136000</v>
      </c>
      <c r="N92" s="32">
        <f t="shared" si="37"/>
        <v>136000</v>
      </c>
      <c r="O92" s="32">
        <f t="shared" si="37"/>
        <v>2.8972876987480523E-2</v>
      </c>
    </row>
    <row r="93" spans="1:15" ht="12.75" x14ac:dyDescent="0.2">
      <c r="A93" s="322">
        <v>2</v>
      </c>
      <c r="B93" s="323">
        <v>2</v>
      </c>
      <c r="C93" s="323">
        <v>4</v>
      </c>
      <c r="D93" s="323">
        <v>1</v>
      </c>
      <c r="E93" s="323"/>
      <c r="F93" s="331" t="s">
        <v>675</v>
      </c>
      <c r="G93" s="30">
        <f>G94</f>
        <v>0</v>
      </c>
      <c r="H93" s="29">
        <f t="shared" ref="H93:O93" si="38">H94</f>
        <v>0</v>
      </c>
      <c r="I93" s="29">
        <f t="shared" si="38"/>
        <v>0</v>
      </c>
      <c r="J93" s="29">
        <f t="shared" si="38"/>
        <v>0</v>
      </c>
      <c r="K93" s="29">
        <f t="shared" si="38"/>
        <v>0</v>
      </c>
      <c r="L93" s="29">
        <f t="shared" si="38"/>
        <v>0</v>
      </c>
      <c r="M93" s="29">
        <f t="shared" si="38"/>
        <v>0</v>
      </c>
      <c r="N93" s="29">
        <f t="shared" si="38"/>
        <v>0</v>
      </c>
      <c r="O93" s="53">
        <f t="shared" si="38"/>
        <v>0</v>
      </c>
    </row>
    <row r="94" spans="1:15" ht="12.75" x14ac:dyDescent="0.2">
      <c r="A94" s="325">
        <v>2</v>
      </c>
      <c r="B94" s="326">
        <v>2</v>
      </c>
      <c r="C94" s="326">
        <v>4</v>
      </c>
      <c r="D94" s="326">
        <v>1</v>
      </c>
      <c r="E94" s="326" t="s">
        <v>610</v>
      </c>
      <c r="F94" s="327" t="s">
        <v>675</v>
      </c>
      <c r="G94" s="27"/>
      <c r="H94" s="27"/>
      <c r="I94" s="27"/>
      <c r="J94" s="27"/>
      <c r="K94" s="27"/>
      <c r="L94" s="27"/>
      <c r="M94" s="27"/>
      <c r="N94" s="343">
        <f>SUBTOTAL(9,G94:M94)</f>
        <v>0</v>
      </c>
      <c r="O94" s="346">
        <f>IFERROR(N94/$N$18*100,"0.00")</f>
        <v>0</v>
      </c>
    </row>
    <row r="95" spans="1:15" ht="12.75" x14ac:dyDescent="0.2">
      <c r="A95" s="322">
        <v>2</v>
      </c>
      <c r="B95" s="323">
        <v>2</v>
      </c>
      <c r="C95" s="323">
        <v>4</v>
      </c>
      <c r="D95" s="323">
        <v>2</v>
      </c>
      <c r="E95" s="323"/>
      <c r="F95" s="331" t="s">
        <v>676</v>
      </c>
      <c r="G95" s="30">
        <f>G96</f>
        <v>0</v>
      </c>
      <c r="H95" s="29">
        <f t="shared" ref="H95:O95" si="39">H96</f>
        <v>0</v>
      </c>
      <c r="I95" s="29">
        <f t="shared" si="39"/>
        <v>0</v>
      </c>
      <c r="J95" s="29">
        <f t="shared" si="39"/>
        <v>0</v>
      </c>
      <c r="K95" s="29">
        <f t="shared" si="39"/>
        <v>0</v>
      </c>
      <c r="L95" s="29">
        <f t="shared" si="39"/>
        <v>0</v>
      </c>
      <c r="M95" s="29">
        <f t="shared" si="39"/>
        <v>136000</v>
      </c>
      <c r="N95" s="29">
        <f>N96</f>
        <v>136000</v>
      </c>
      <c r="O95" s="53">
        <f t="shared" si="39"/>
        <v>2.8972876987480523E-2</v>
      </c>
    </row>
    <row r="96" spans="1:15" ht="12.75" x14ac:dyDescent="0.2">
      <c r="A96" s="332">
        <v>2</v>
      </c>
      <c r="B96" s="326">
        <v>2</v>
      </c>
      <c r="C96" s="326">
        <v>4</v>
      </c>
      <c r="D96" s="326">
        <v>2</v>
      </c>
      <c r="E96" s="326" t="s">
        <v>610</v>
      </c>
      <c r="F96" s="333" t="s">
        <v>676</v>
      </c>
      <c r="G96" s="27"/>
      <c r="H96" s="27"/>
      <c r="I96" s="27"/>
      <c r="J96" s="27"/>
      <c r="K96" s="27"/>
      <c r="L96" s="27"/>
      <c r="M96" s="27">
        <v>136000</v>
      </c>
      <c r="N96" s="343">
        <f>SUBTOTAL(9,G96:M96)</f>
        <v>136000</v>
      </c>
      <c r="O96" s="346">
        <f>IFERROR(N96/$N$18*100,"0.00")</f>
        <v>2.8972876987480523E-2</v>
      </c>
    </row>
    <row r="97" spans="1:15" ht="12.75" x14ac:dyDescent="0.2">
      <c r="A97" s="322">
        <v>2</v>
      </c>
      <c r="B97" s="323">
        <v>2</v>
      </c>
      <c r="C97" s="323">
        <v>4</v>
      </c>
      <c r="D97" s="323">
        <v>4</v>
      </c>
      <c r="E97" s="323"/>
      <c r="F97" s="331" t="s">
        <v>677</v>
      </c>
      <c r="G97" s="30">
        <f>G98</f>
        <v>0</v>
      </c>
      <c r="H97" s="29">
        <f t="shared" ref="H97:O97" si="40">H98</f>
        <v>0</v>
      </c>
      <c r="I97" s="29">
        <f t="shared" si="40"/>
        <v>0</v>
      </c>
      <c r="J97" s="29">
        <f t="shared" si="40"/>
        <v>0</v>
      </c>
      <c r="K97" s="29">
        <f t="shared" si="40"/>
        <v>0</v>
      </c>
      <c r="L97" s="29">
        <f t="shared" si="40"/>
        <v>0</v>
      </c>
      <c r="M97" s="29">
        <f t="shared" si="40"/>
        <v>0</v>
      </c>
      <c r="N97" s="29">
        <f t="shared" si="40"/>
        <v>0</v>
      </c>
      <c r="O97" s="53">
        <f t="shared" si="40"/>
        <v>0</v>
      </c>
    </row>
    <row r="98" spans="1:15" ht="12.75" x14ac:dyDescent="0.2">
      <c r="A98" s="332">
        <v>2</v>
      </c>
      <c r="B98" s="326">
        <v>2</v>
      </c>
      <c r="C98" s="326">
        <v>4</v>
      </c>
      <c r="D98" s="326">
        <v>4</v>
      </c>
      <c r="E98" s="326" t="s">
        <v>610</v>
      </c>
      <c r="F98" s="333" t="s">
        <v>677</v>
      </c>
      <c r="G98" s="27"/>
      <c r="H98" s="27"/>
      <c r="I98" s="27"/>
      <c r="J98" s="27"/>
      <c r="K98" s="27"/>
      <c r="L98" s="27"/>
      <c r="M98" s="27"/>
      <c r="N98" s="343">
        <f>SUBTOTAL(9,G98:M98)</f>
        <v>0</v>
      </c>
      <c r="O98" s="346">
        <f>IFERROR(N98/$N$18*100,"0.00")</f>
        <v>0</v>
      </c>
    </row>
    <row r="99" spans="1:15" ht="12.75" x14ac:dyDescent="0.2">
      <c r="A99" s="319">
        <v>2</v>
      </c>
      <c r="B99" s="320">
        <v>2</v>
      </c>
      <c r="C99" s="320">
        <v>5</v>
      </c>
      <c r="D99" s="320"/>
      <c r="E99" s="320"/>
      <c r="F99" s="321" t="s">
        <v>678</v>
      </c>
      <c r="G99" s="32">
        <f>+G100+G102+G104+G110+G112+G114</f>
        <v>0</v>
      </c>
      <c r="H99" s="32">
        <f t="shared" ref="H99:M99" si="41">+H100+H102+H104+H110+H112+H114</f>
        <v>0</v>
      </c>
      <c r="I99" s="32">
        <f t="shared" si="41"/>
        <v>0</v>
      </c>
      <c r="J99" s="32">
        <f t="shared" si="41"/>
        <v>0</v>
      </c>
      <c r="K99" s="32">
        <f t="shared" si="41"/>
        <v>0</v>
      </c>
      <c r="L99" s="32">
        <f t="shared" si="41"/>
        <v>0</v>
      </c>
      <c r="M99" s="32">
        <f t="shared" si="41"/>
        <v>514680</v>
      </c>
      <c r="N99" s="32">
        <f>+N100+N102+N104+N110+N112+N114</f>
        <v>514680</v>
      </c>
      <c r="O99" s="32">
        <f>+O100+O102+O104+O110+O112+O114</f>
        <v>0.10964529652879762</v>
      </c>
    </row>
    <row r="100" spans="1:15" ht="12.75" x14ac:dyDescent="0.2">
      <c r="A100" s="322">
        <v>2</v>
      </c>
      <c r="B100" s="323">
        <v>2</v>
      </c>
      <c r="C100" s="323">
        <v>5</v>
      </c>
      <c r="D100" s="323">
        <v>1</v>
      </c>
      <c r="E100" s="323"/>
      <c r="F100" s="331" t="s">
        <v>679</v>
      </c>
      <c r="G100" s="30">
        <f>G101</f>
        <v>0</v>
      </c>
      <c r="H100" s="30">
        <f t="shared" ref="H100:O100" si="42">H101</f>
        <v>0</v>
      </c>
      <c r="I100" s="30">
        <f t="shared" si="42"/>
        <v>0</v>
      </c>
      <c r="J100" s="30">
        <f t="shared" si="42"/>
        <v>0</v>
      </c>
      <c r="K100" s="30">
        <f t="shared" si="42"/>
        <v>0</v>
      </c>
      <c r="L100" s="30">
        <f t="shared" si="42"/>
        <v>0</v>
      </c>
      <c r="M100" s="30">
        <f t="shared" si="42"/>
        <v>0</v>
      </c>
      <c r="N100" s="30">
        <f t="shared" si="42"/>
        <v>0</v>
      </c>
      <c r="O100" s="54">
        <f t="shared" si="42"/>
        <v>0</v>
      </c>
    </row>
    <row r="101" spans="1:15" ht="12.75" x14ac:dyDescent="0.2">
      <c r="A101" s="332">
        <v>2</v>
      </c>
      <c r="B101" s="326">
        <v>2</v>
      </c>
      <c r="C101" s="326">
        <v>5</v>
      </c>
      <c r="D101" s="326">
        <v>1</v>
      </c>
      <c r="E101" s="326" t="s">
        <v>610</v>
      </c>
      <c r="F101" s="333" t="s">
        <v>679</v>
      </c>
      <c r="G101" s="27"/>
      <c r="H101" s="27"/>
      <c r="I101" s="27"/>
      <c r="J101" s="27"/>
      <c r="K101" s="27"/>
      <c r="L101" s="27"/>
      <c r="M101" s="27"/>
      <c r="N101" s="343">
        <f>SUBTOTAL(9,G101:M101)</f>
        <v>0</v>
      </c>
      <c r="O101" s="346">
        <f>IFERROR(N101/$N$18*100,"0.00")</f>
        <v>0</v>
      </c>
    </row>
    <row r="102" spans="1:15" ht="12.75" x14ac:dyDescent="0.2">
      <c r="A102" s="334">
        <v>2</v>
      </c>
      <c r="B102" s="323">
        <v>2</v>
      </c>
      <c r="C102" s="323">
        <v>5</v>
      </c>
      <c r="D102" s="323">
        <v>2</v>
      </c>
      <c r="E102" s="323"/>
      <c r="F102" s="335" t="s">
        <v>680</v>
      </c>
      <c r="G102" s="30">
        <f>G103</f>
        <v>0</v>
      </c>
      <c r="H102" s="29">
        <f t="shared" ref="H102:O102" si="43">H103</f>
        <v>0</v>
      </c>
      <c r="I102" s="29">
        <f t="shared" si="43"/>
        <v>0</v>
      </c>
      <c r="J102" s="29">
        <f t="shared" si="43"/>
        <v>0</v>
      </c>
      <c r="K102" s="29">
        <f t="shared" si="43"/>
        <v>0</v>
      </c>
      <c r="L102" s="29">
        <f t="shared" si="43"/>
        <v>0</v>
      </c>
      <c r="M102" s="29">
        <f t="shared" si="43"/>
        <v>0</v>
      </c>
      <c r="N102" s="29">
        <f t="shared" si="43"/>
        <v>0</v>
      </c>
      <c r="O102" s="53">
        <f t="shared" si="43"/>
        <v>0</v>
      </c>
    </row>
    <row r="103" spans="1:15" ht="12.75" x14ac:dyDescent="0.2">
      <c r="A103" s="332">
        <v>2</v>
      </c>
      <c r="B103" s="326">
        <v>2</v>
      </c>
      <c r="C103" s="326">
        <v>5</v>
      </c>
      <c r="D103" s="326">
        <v>2</v>
      </c>
      <c r="E103" s="326" t="s">
        <v>610</v>
      </c>
      <c r="F103" s="333" t="s">
        <v>680</v>
      </c>
      <c r="G103" s="27"/>
      <c r="H103" s="27"/>
      <c r="I103" s="27"/>
      <c r="J103" s="27"/>
      <c r="K103" s="27"/>
      <c r="L103" s="27"/>
      <c r="M103" s="27"/>
      <c r="N103" s="343">
        <f>SUBTOTAL(9,G103:M103)</f>
        <v>0</v>
      </c>
      <c r="O103" s="346">
        <f>IFERROR(N103/$N$18*100,"0.00")</f>
        <v>0</v>
      </c>
    </row>
    <row r="104" spans="1:15" ht="12.75" x14ac:dyDescent="0.2">
      <c r="A104" s="334">
        <v>2</v>
      </c>
      <c r="B104" s="323">
        <v>2</v>
      </c>
      <c r="C104" s="323">
        <v>5</v>
      </c>
      <c r="D104" s="323">
        <v>3</v>
      </c>
      <c r="E104" s="323"/>
      <c r="F104" s="335" t="s">
        <v>681</v>
      </c>
      <c r="G104" s="30">
        <f>SUM(G105:G109)</f>
        <v>0</v>
      </c>
      <c r="H104" s="30">
        <f t="shared" ref="H104:M104" si="44">SUM(H105:H109)</f>
        <v>0</v>
      </c>
      <c r="I104" s="30">
        <f t="shared" si="44"/>
        <v>0</v>
      </c>
      <c r="J104" s="30">
        <f t="shared" si="44"/>
        <v>0</v>
      </c>
      <c r="K104" s="30">
        <f t="shared" si="44"/>
        <v>0</v>
      </c>
      <c r="L104" s="30">
        <f t="shared" si="44"/>
        <v>0</v>
      </c>
      <c r="M104" s="30">
        <f t="shared" si="44"/>
        <v>514680</v>
      </c>
      <c r="N104" s="30">
        <f>SUM(N105:N109)</f>
        <v>514680</v>
      </c>
      <c r="O104" s="54">
        <f>SUM(O105:O109)</f>
        <v>0.10964529652879762</v>
      </c>
    </row>
    <row r="105" spans="1:15" ht="12.75" x14ac:dyDescent="0.2">
      <c r="A105" s="332">
        <v>2</v>
      </c>
      <c r="B105" s="326">
        <v>2</v>
      </c>
      <c r="C105" s="326">
        <v>5</v>
      </c>
      <c r="D105" s="326">
        <v>3</v>
      </c>
      <c r="E105" s="326" t="s">
        <v>610</v>
      </c>
      <c r="F105" s="333" t="s">
        <v>682</v>
      </c>
      <c r="G105" s="27"/>
      <c r="H105" s="27"/>
      <c r="I105" s="27"/>
      <c r="J105" s="27"/>
      <c r="K105" s="27"/>
      <c r="L105" s="27"/>
      <c r="M105" s="27"/>
      <c r="N105" s="343">
        <f>SUBTOTAL(9,G105:M105)</f>
        <v>0</v>
      </c>
      <c r="O105" s="346">
        <f>IFERROR(N105/$N$18*100,"0.00")</f>
        <v>0</v>
      </c>
    </row>
    <row r="106" spans="1:15" ht="12.75" x14ac:dyDescent="0.2">
      <c r="A106" s="332">
        <v>2</v>
      </c>
      <c r="B106" s="326">
        <v>2</v>
      </c>
      <c r="C106" s="326">
        <v>5</v>
      </c>
      <c r="D106" s="326">
        <v>3</v>
      </c>
      <c r="E106" s="326" t="s">
        <v>612</v>
      </c>
      <c r="F106" s="333" t="s">
        <v>683</v>
      </c>
      <c r="G106" s="27"/>
      <c r="H106" s="27"/>
      <c r="I106" s="27"/>
      <c r="J106" s="27"/>
      <c r="K106" s="27"/>
      <c r="L106" s="27"/>
      <c r="M106" s="27">
        <v>514680</v>
      </c>
      <c r="N106" s="343">
        <f t="shared" ref="N106:N111" si="45">SUBTOTAL(9,G106:M106)</f>
        <v>514680</v>
      </c>
      <c r="O106" s="346">
        <f t="shared" ref="O106:O111" si="46">IFERROR(N106/$N$18*100,"0.00")</f>
        <v>0.10964529652879762</v>
      </c>
    </row>
    <row r="107" spans="1:15" ht="12.75" x14ac:dyDescent="0.2">
      <c r="A107" s="332">
        <v>2</v>
      </c>
      <c r="B107" s="326">
        <v>2</v>
      </c>
      <c r="C107" s="326">
        <v>5</v>
      </c>
      <c r="D107" s="326">
        <v>3</v>
      </c>
      <c r="E107" s="326" t="s">
        <v>619</v>
      </c>
      <c r="F107" s="333" t="s">
        <v>684</v>
      </c>
      <c r="G107" s="27"/>
      <c r="H107" s="27"/>
      <c r="I107" s="27"/>
      <c r="J107" s="27"/>
      <c r="K107" s="27"/>
      <c r="L107" s="27"/>
      <c r="M107" s="27"/>
      <c r="N107" s="343">
        <f t="shared" si="45"/>
        <v>0</v>
      </c>
      <c r="O107" s="346">
        <f t="shared" si="46"/>
        <v>0</v>
      </c>
    </row>
    <row r="108" spans="1:15" ht="12.75" x14ac:dyDescent="0.2">
      <c r="A108" s="332">
        <v>2</v>
      </c>
      <c r="B108" s="326">
        <v>2</v>
      </c>
      <c r="C108" s="326">
        <v>5</v>
      </c>
      <c r="D108" s="326">
        <v>3</v>
      </c>
      <c r="E108" s="326" t="s">
        <v>634</v>
      </c>
      <c r="F108" s="333" t="s">
        <v>685</v>
      </c>
      <c r="G108" s="27"/>
      <c r="H108" s="27"/>
      <c r="I108" s="27"/>
      <c r="J108" s="27"/>
      <c r="K108" s="27"/>
      <c r="L108" s="27"/>
      <c r="M108" s="27"/>
      <c r="N108" s="343">
        <f t="shared" si="45"/>
        <v>0</v>
      </c>
      <c r="O108" s="346">
        <f t="shared" si="46"/>
        <v>0</v>
      </c>
    </row>
    <row r="109" spans="1:15" ht="12.75" x14ac:dyDescent="0.2">
      <c r="A109" s="332">
        <v>2</v>
      </c>
      <c r="B109" s="326">
        <v>2</v>
      </c>
      <c r="C109" s="326">
        <v>5</v>
      </c>
      <c r="D109" s="326">
        <v>3</v>
      </c>
      <c r="E109" s="326" t="s">
        <v>614</v>
      </c>
      <c r="F109" s="333" t="s">
        <v>686</v>
      </c>
      <c r="G109" s="27"/>
      <c r="H109" s="27"/>
      <c r="I109" s="27"/>
      <c r="J109" s="27"/>
      <c r="K109" s="27"/>
      <c r="L109" s="27"/>
      <c r="M109" s="27"/>
      <c r="N109" s="343">
        <f t="shared" si="45"/>
        <v>0</v>
      </c>
      <c r="O109" s="346">
        <f t="shared" si="46"/>
        <v>0</v>
      </c>
    </row>
    <row r="110" spans="1:15" ht="12.75" x14ac:dyDescent="0.2">
      <c r="A110" s="322">
        <v>2</v>
      </c>
      <c r="B110" s="323">
        <v>2</v>
      </c>
      <c r="C110" s="323">
        <v>5</v>
      </c>
      <c r="D110" s="323">
        <v>4</v>
      </c>
      <c r="E110" s="323"/>
      <c r="F110" s="331" t="s">
        <v>687</v>
      </c>
      <c r="G110" s="29">
        <f>+G111</f>
        <v>0</v>
      </c>
      <c r="H110" s="29">
        <f t="shared" ref="H110:O110" si="47">+H111</f>
        <v>0</v>
      </c>
      <c r="I110" s="29">
        <f t="shared" si="47"/>
        <v>0</v>
      </c>
      <c r="J110" s="29">
        <f t="shared" si="47"/>
        <v>0</v>
      </c>
      <c r="K110" s="29">
        <f t="shared" si="47"/>
        <v>0</v>
      </c>
      <c r="L110" s="29">
        <f t="shared" si="47"/>
        <v>0</v>
      </c>
      <c r="M110" s="29">
        <f t="shared" si="47"/>
        <v>0</v>
      </c>
      <c r="N110" s="29">
        <f t="shared" si="47"/>
        <v>0</v>
      </c>
      <c r="O110" s="54">
        <f t="shared" si="47"/>
        <v>0</v>
      </c>
    </row>
    <row r="111" spans="1:15" ht="12.75" x14ac:dyDescent="0.2">
      <c r="A111" s="332">
        <v>2</v>
      </c>
      <c r="B111" s="326">
        <v>2</v>
      </c>
      <c r="C111" s="326">
        <v>5</v>
      </c>
      <c r="D111" s="326">
        <v>4</v>
      </c>
      <c r="E111" s="326" t="s">
        <v>610</v>
      </c>
      <c r="F111" s="333" t="s">
        <v>687</v>
      </c>
      <c r="G111" s="27"/>
      <c r="H111" s="27"/>
      <c r="I111" s="27"/>
      <c r="J111" s="27"/>
      <c r="K111" s="27"/>
      <c r="L111" s="27"/>
      <c r="M111" s="27"/>
      <c r="N111" s="343">
        <f t="shared" si="45"/>
        <v>0</v>
      </c>
      <c r="O111" s="346">
        <f t="shared" si="46"/>
        <v>0</v>
      </c>
    </row>
    <row r="112" spans="1:15" ht="12.75" x14ac:dyDescent="0.2">
      <c r="A112" s="334">
        <v>2</v>
      </c>
      <c r="B112" s="323">
        <v>2</v>
      </c>
      <c r="C112" s="323">
        <v>5</v>
      </c>
      <c r="D112" s="323">
        <v>8</v>
      </c>
      <c r="E112" s="323"/>
      <c r="F112" s="335" t="s">
        <v>688</v>
      </c>
      <c r="G112" s="30">
        <f>G113</f>
        <v>0</v>
      </c>
      <c r="H112" s="29">
        <f t="shared" ref="H112:O112" si="48">H113</f>
        <v>0</v>
      </c>
      <c r="I112" s="29">
        <f t="shared" si="48"/>
        <v>0</v>
      </c>
      <c r="J112" s="29">
        <f t="shared" si="48"/>
        <v>0</v>
      </c>
      <c r="K112" s="29">
        <f t="shared" si="48"/>
        <v>0</v>
      </c>
      <c r="L112" s="29">
        <f t="shared" si="48"/>
        <v>0</v>
      </c>
      <c r="M112" s="29">
        <f t="shared" si="48"/>
        <v>0</v>
      </c>
      <c r="N112" s="29">
        <f t="shared" si="48"/>
        <v>0</v>
      </c>
      <c r="O112" s="53">
        <f t="shared" si="48"/>
        <v>0</v>
      </c>
    </row>
    <row r="113" spans="1:15" ht="12.75" x14ac:dyDescent="0.2">
      <c r="A113" s="332">
        <v>2</v>
      </c>
      <c r="B113" s="326">
        <v>2</v>
      </c>
      <c r="C113" s="326">
        <v>5</v>
      </c>
      <c r="D113" s="326">
        <v>8</v>
      </c>
      <c r="E113" s="326" t="s">
        <v>610</v>
      </c>
      <c r="F113" s="333" t="s">
        <v>688</v>
      </c>
      <c r="G113" s="27"/>
      <c r="H113" s="27"/>
      <c r="I113" s="27"/>
      <c r="J113" s="27"/>
      <c r="K113" s="27"/>
      <c r="L113" s="27"/>
      <c r="M113" s="27"/>
      <c r="N113" s="343">
        <f>SUBTOTAL(9,G113:M113)</f>
        <v>0</v>
      </c>
      <c r="O113" s="346">
        <f>IFERROR(N113/$N$18*100,"0.00")</f>
        <v>0</v>
      </c>
    </row>
    <row r="114" spans="1:15" ht="12.75" x14ac:dyDescent="0.2">
      <c r="A114" s="334">
        <v>2</v>
      </c>
      <c r="B114" s="323">
        <v>2</v>
      </c>
      <c r="C114" s="323">
        <v>5</v>
      </c>
      <c r="D114" s="323">
        <v>9</v>
      </c>
      <c r="E114" s="323"/>
      <c r="F114" s="335" t="s">
        <v>689</v>
      </c>
      <c r="G114" s="29">
        <f>+G115</f>
        <v>0</v>
      </c>
      <c r="H114" s="29">
        <f t="shared" ref="H114:O114" si="49">H115</f>
        <v>0</v>
      </c>
      <c r="I114" s="29">
        <f t="shared" si="49"/>
        <v>0</v>
      </c>
      <c r="J114" s="29">
        <f t="shared" si="49"/>
        <v>0</v>
      </c>
      <c r="K114" s="29">
        <f t="shared" si="49"/>
        <v>0</v>
      </c>
      <c r="L114" s="29">
        <f t="shared" si="49"/>
        <v>0</v>
      </c>
      <c r="M114" s="29">
        <f t="shared" si="49"/>
        <v>0</v>
      </c>
      <c r="N114" s="29">
        <f t="shared" si="49"/>
        <v>0</v>
      </c>
      <c r="O114" s="53">
        <f t="shared" si="49"/>
        <v>0</v>
      </c>
    </row>
    <row r="115" spans="1:15" ht="12.75" x14ac:dyDescent="0.2">
      <c r="A115" s="332">
        <v>2</v>
      </c>
      <c r="B115" s="326">
        <v>2</v>
      </c>
      <c r="C115" s="326">
        <v>5</v>
      </c>
      <c r="D115" s="326">
        <v>8</v>
      </c>
      <c r="E115" s="326" t="s">
        <v>610</v>
      </c>
      <c r="F115" s="333" t="s">
        <v>690</v>
      </c>
      <c r="G115" s="27"/>
      <c r="H115" s="27"/>
      <c r="I115" s="27"/>
      <c r="J115" s="27"/>
      <c r="K115" s="27"/>
      <c r="L115" s="27"/>
      <c r="M115" s="27"/>
      <c r="N115" s="343">
        <f>SUBTOTAL(9,G115:M115)</f>
        <v>0</v>
      </c>
      <c r="O115" s="346">
        <f>IFERROR(N115/$N$18*100,"0.00")</f>
        <v>0</v>
      </c>
    </row>
    <row r="116" spans="1:15" ht="12.75" x14ac:dyDescent="0.2">
      <c r="A116" s="319">
        <v>2</v>
      </c>
      <c r="B116" s="320">
        <v>2</v>
      </c>
      <c r="C116" s="320">
        <v>6</v>
      </c>
      <c r="D116" s="320"/>
      <c r="E116" s="320"/>
      <c r="F116" s="321" t="s">
        <v>691</v>
      </c>
      <c r="G116" s="32">
        <f>+G117+G119+G121+G123</f>
        <v>0</v>
      </c>
      <c r="H116" s="384">
        <f t="shared" ref="H116:N116" si="50">+H117+H119+H121+H123</f>
        <v>0</v>
      </c>
      <c r="I116" s="384">
        <f t="shared" si="50"/>
        <v>0</v>
      </c>
      <c r="J116" s="384">
        <f t="shared" si="50"/>
        <v>0</v>
      </c>
      <c r="K116" s="384">
        <f t="shared" si="50"/>
        <v>0</v>
      </c>
      <c r="L116" s="384">
        <f t="shared" si="50"/>
        <v>0</v>
      </c>
      <c r="M116" s="384">
        <f t="shared" si="50"/>
        <v>0</v>
      </c>
      <c r="N116" s="384">
        <f t="shared" si="50"/>
        <v>0</v>
      </c>
      <c r="O116" s="52">
        <f>+O117+O119+O121+O123</f>
        <v>0</v>
      </c>
    </row>
    <row r="117" spans="1:15" ht="12.75" x14ac:dyDescent="0.2">
      <c r="A117" s="322">
        <v>2</v>
      </c>
      <c r="B117" s="323">
        <v>2</v>
      </c>
      <c r="C117" s="323">
        <v>6</v>
      </c>
      <c r="D117" s="323">
        <v>1</v>
      </c>
      <c r="E117" s="323"/>
      <c r="F117" s="331" t="s">
        <v>692</v>
      </c>
      <c r="G117" s="30">
        <f>G118</f>
        <v>0</v>
      </c>
      <c r="H117" s="29">
        <f t="shared" ref="H117:O117" si="51">H118</f>
        <v>0</v>
      </c>
      <c r="I117" s="29">
        <f t="shared" si="51"/>
        <v>0</v>
      </c>
      <c r="J117" s="29">
        <f t="shared" si="51"/>
        <v>0</v>
      </c>
      <c r="K117" s="29">
        <f t="shared" si="51"/>
        <v>0</v>
      </c>
      <c r="L117" s="29">
        <f t="shared" si="51"/>
        <v>0</v>
      </c>
      <c r="M117" s="29">
        <f t="shared" si="51"/>
        <v>0</v>
      </c>
      <c r="N117" s="29">
        <f t="shared" si="51"/>
        <v>0</v>
      </c>
      <c r="O117" s="53">
        <f t="shared" si="51"/>
        <v>0</v>
      </c>
    </row>
    <row r="118" spans="1:15" ht="12.75" x14ac:dyDescent="0.2">
      <c r="A118" s="332">
        <v>2</v>
      </c>
      <c r="B118" s="326">
        <v>2</v>
      </c>
      <c r="C118" s="326">
        <v>6</v>
      </c>
      <c r="D118" s="326">
        <v>1</v>
      </c>
      <c r="E118" s="326" t="s">
        <v>610</v>
      </c>
      <c r="F118" s="333" t="s">
        <v>692</v>
      </c>
      <c r="G118" s="27"/>
      <c r="H118" s="27"/>
      <c r="I118" s="27"/>
      <c r="J118" s="27"/>
      <c r="K118" s="27"/>
      <c r="L118" s="27"/>
      <c r="M118" s="27"/>
      <c r="N118" s="343">
        <f>SUBTOTAL(9,G118:M118)</f>
        <v>0</v>
      </c>
      <c r="O118" s="346">
        <f>IFERROR(N118/$N$18*100,"0.00")</f>
        <v>0</v>
      </c>
    </row>
    <row r="119" spans="1:15" ht="12.75" x14ac:dyDescent="0.2">
      <c r="A119" s="322">
        <v>2</v>
      </c>
      <c r="B119" s="323">
        <v>2</v>
      </c>
      <c r="C119" s="323">
        <v>6</v>
      </c>
      <c r="D119" s="323">
        <v>2</v>
      </c>
      <c r="E119" s="323"/>
      <c r="F119" s="331" t="s">
        <v>693</v>
      </c>
      <c r="G119" s="30">
        <f>G120</f>
        <v>0</v>
      </c>
      <c r="H119" s="29">
        <f t="shared" ref="H119:O119" si="52">H120</f>
        <v>0</v>
      </c>
      <c r="I119" s="29">
        <f t="shared" si="52"/>
        <v>0</v>
      </c>
      <c r="J119" s="29">
        <f t="shared" si="52"/>
        <v>0</v>
      </c>
      <c r="K119" s="29">
        <f t="shared" si="52"/>
        <v>0</v>
      </c>
      <c r="L119" s="29">
        <f t="shared" si="52"/>
        <v>0</v>
      </c>
      <c r="M119" s="29">
        <f t="shared" si="52"/>
        <v>0</v>
      </c>
      <c r="N119" s="29">
        <f t="shared" si="52"/>
        <v>0</v>
      </c>
      <c r="O119" s="53">
        <f t="shared" si="52"/>
        <v>0</v>
      </c>
    </row>
    <row r="120" spans="1:15" ht="12.75" x14ac:dyDescent="0.2">
      <c r="A120" s="332">
        <v>2</v>
      </c>
      <c r="B120" s="326">
        <v>2</v>
      </c>
      <c r="C120" s="326">
        <v>6</v>
      </c>
      <c r="D120" s="326">
        <v>2</v>
      </c>
      <c r="E120" s="326" t="s">
        <v>610</v>
      </c>
      <c r="F120" s="333" t="s">
        <v>693</v>
      </c>
      <c r="G120" s="27"/>
      <c r="H120" s="27"/>
      <c r="I120" s="27"/>
      <c r="J120" s="27"/>
      <c r="K120" s="27"/>
      <c r="L120" s="27"/>
      <c r="M120" s="27"/>
      <c r="N120" s="343">
        <f>SUBTOTAL(9,G120:M120)</f>
        <v>0</v>
      </c>
      <c r="O120" s="346">
        <f>IFERROR(N120/$N$18*100,"0.00")</f>
        <v>0</v>
      </c>
    </row>
    <row r="121" spans="1:15" ht="12.75" x14ac:dyDescent="0.2">
      <c r="A121" s="322">
        <v>2</v>
      </c>
      <c r="B121" s="323">
        <v>2</v>
      </c>
      <c r="C121" s="323">
        <v>6</v>
      </c>
      <c r="D121" s="323">
        <v>3</v>
      </c>
      <c r="E121" s="323"/>
      <c r="F121" s="331" t="s">
        <v>694</v>
      </c>
      <c r="G121" s="30">
        <f>G122</f>
        <v>0</v>
      </c>
      <c r="H121" s="29">
        <f t="shared" ref="H121:O121" si="53">H122</f>
        <v>0</v>
      </c>
      <c r="I121" s="29">
        <f t="shared" si="53"/>
        <v>0</v>
      </c>
      <c r="J121" s="29">
        <f t="shared" si="53"/>
        <v>0</v>
      </c>
      <c r="K121" s="29">
        <f t="shared" si="53"/>
        <v>0</v>
      </c>
      <c r="L121" s="29">
        <f t="shared" si="53"/>
        <v>0</v>
      </c>
      <c r="M121" s="29">
        <f t="shared" si="53"/>
        <v>0</v>
      </c>
      <c r="N121" s="29">
        <f t="shared" si="53"/>
        <v>0</v>
      </c>
      <c r="O121" s="53">
        <f t="shared" si="53"/>
        <v>0</v>
      </c>
    </row>
    <row r="122" spans="1:15" ht="12.75" x14ac:dyDescent="0.2">
      <c r="A122" s="332">
        <v>2</v>
      </c>
      <c r="B122" s="326">
        <v>2</v>
      </c>
      <c r="C122" s="326">
        <v>6</v>
      </c>
      <c r="D122" s="326">
        <v>3</v>
      </c>
      <c r="E122" s="326" t="s">
        <v>610</v>
      </c>
      <c r="F122" s="333" t="s">
        <v>694</v>
      </c>
      <c r="G122" s="27"/>
      <c r="H122" s="27"/>
      <c r="I122" s="27"/>
      <c r="J122" s="27"/>
      <c r="K122" s="27"/>
      <c r="L122" s="27"/>
      <c r="M122" s="27"/>
      <c r="N122" s="343">
        <f>SUBTOTAL(9,G122:M122)</f>
        <v>0</v>
      </c>
      <c r="O122" s="346">
        <f>IFERROR(N122/$N$18*100,"0.00")</f>
        <v>0</v>
      </c>
    </row>
    <row r="123" spans="1:15" ht="12.75" x14ac:dyDescent="0.2">
      <c r="A123" s="334">
        <v>2</v>
      </c>
      <c r="B123" s="323">
        <v>2</v>
      </c>
      <c r="C123" s="323">
        <v>6</v>
      </c>
      <c r="D123" s="323">
        <v>9</v>
      </c>
      <c r="E123" s="323"/>
      <c r="F123" s="335" t="s">
        <v>695</v>
      </c>
      <c r="G123" s="29">
        <f>+G124</f>
        <v>0</v>
      </c>
      <c r="H123" s="29">
        <f t="shared" ref="H123:O123" si="54">H124</f>
        <v>0</v>
      </c>
      <c r="I123" s="29">
        <f t="shared" si="54"/>
        <v>0</v>
      </c>
      <c r="J123" s="29">
        <f t="shared" si="54"/>
        <v>0</v>
      </c>
      <c r="K123" s="29">
        <f t="shared" si="54"/>
        <v>0</v>
      </c>
      <c r="L123" s="29">
        <f t="shared" si="54"/>
        <v>0</v>
      </c>
      <c r="M123" s="29">
        <f t="shared" si="54"/>
        <v>0</v>
      </c>
      <c r="N123" s="29">
        <f t="shared" si="54"/>
        <v>0</v>
      </c>
      <c r="O123" s="53">
        <f t="shared" si="54"/>
        <v>0</v>
      </c>
    </row>
    <row r="124" spans="1:15" ht="12.75" x14ac:dyDescent="0.2">
      <c r="A124" s="332">
        <v>2</v>
      </c>
      <c r="B124" s="326">
        <v>2</v>
      </c>
      <c r="C124" s="326">
        <v>6</v>
      </c>
      <c r="D124" s="326">
        <v>9</v>
      </c>
      <c r="E124" s="326" t="s">
        <v>610</v>
      </c>
      <c r="F124" s="333" t="s">
        <v>695</v>
      </c>
      <c r="G124" s="27"/>
      <c r="H124" s="27"/>
      <c r="I124" s="27"/>
      <c r="J124" s="27"/>
      <c r="K124" s="27"/>
      <c r="L124" s="27"/>
      <c r="M124" s="27"/>
      <c r="N124" s="343">
        <f>SUBTOTAL(9,G124:M124)</f>
        <v>0</v>
      </c>
      <c r="O124" s="346">
        <f>IFERROR(N124/$N$18*100,"0.00")</f>
        <v>0</v>
      </c>
    </row>
    <row r="125" spans="1:15" ht="12.75" x14ac:dyDescent="0.2">
      <c r="A125" s="319">
        <v>2</v>
      </c>
      <c r="B125" s="320">
        <v>2</v>
      </c>
      <c r="C125" s="320">
        <v>7</v>
      </c>
      <c r="D125" s="320"/>
      <c r="E125" s="320"/>
      <c r="F125" s="321" t="s">
        <v>696</v>
      </c>
      <c r="G125" s="32">
        <f>+G126+G131+G141</f>
        <v>0</v>
      </c>
      <c r="H125" s="384">
        <f t="shared" ref="H125:N125" si="55">+H126+H128+H130+H136+H138+H140+H142+H144</f>
        <v>0</v>
      </c>
      <c r="I125" s="384">
        <f t="shared" si="55"/>
        <v>0</v>
      </c>
      <c r="J125" s="384">
        <f t="shared" si="55"/>
        <v>0</v>
      </c>
      <c r="K125" s="384">
        <f t="shared" si="55"/>
        <v>0</v>
      </c>
      <c r="L125" s="384">
        <f t="shared" si="55"/>
        <v>0</v>
      </c>
      <c r="M125" s="384">
        <f t="shared" si="55"/>
        <v>6470000</v>
      </c>
      <c r="N125" s="384">
        <f t="shared" si="55"/>
        <v>6470000</v>
      </c>
      <c r="O125" s="52">
        <f>+O126+O128+O130+O136+O138+O140+O142+O144</f>
        <v>1.3783420155073456</v>
      </c>
    </row>
    <row r="126" spans="1:15" ht="12.75" x14ac:dyDescent="0.2">
      <c r="A126" s="334">
        <v>2</v>
      </c>
      <c r="B126" s="323">
        <v>2</v>
      </c>
      <c r="C126" s="323">
        <v>7</v>
      </c>
      <c r="D126" s="323">
        <v>1</v>
      </c>
      <c r="E126" s="323"/>
      <c r="F126" s="335" t="s">
        <v>697</v>
      </c>
      <c r="G126" s="30">
        <f>SUM(G127:G130)</f>
        <v>0</v>
      </c>
      <c r="H126" s="30">
        <f t="shared" ref="H126:N126" si="56">SUM(H127:H130)</f>
        <v>0</v>
      </c>
      <c r="I126" s="30">
        <f t="shared" si="56"/>
        <v>0</v>
      </c>
      <c r="J126" s="30">
        <f t="shared" si="56"/>
        <v>0</v>
      </c>
      <c r="K126" s="30">
        <f t="shared" si="56"/>
        <v>0</v>
      </c>
      <c r="L126" s="30">
        <f t="shared" si="56"/>
        <v>0</v>
      </c>
      <c r="M126" s="30">
        <f t="shared" si="56"/>
        <v>2235000</v>
      </c>
      <c r="N126" s="30">
        <f t="shared" si="56"/>
        <v>2235000</v>
      </c>
      <c r="O126" s="54">
        <f>SUM(O127:O130)</f>
        <v>0.47613514755161007</v>
      </c>
    </row>
    <row r="127" spans="1:15" ht="12.75" x14ac:dyDescent="0.2">
      <c r="A127" s="325">
        <v>2</v>
      </c>
      <c r="B127" s="326">
        <v>2</v>
      </c>
      <c r="C127" s="326">
        <v>7</v>
      </c>
      <c r="D127" s="326">
        <v>1</v>
      </c>
      <c r="E127" s="326" t="s">
        <v>610</v>
      </c>
      <c r="F127" s="336" t="s">
        <v>698</v>
      </c>
      <c r="G127" s="27"/>
      <c r="H127" s="27"/>
      <c r="I127" s="27"/>
      <c r="J127" s="27"/>
      <c r="K127" s="27"/>
      <c r="L127" s="27"/>
      <c r="M127" s="27"/>
      <c r="N127" s="343">
        <f>SUBTOTAL(9,G127:M127)</f>
        <v>0</v>
      </c>
      <c r="O127" s="346">
        <f>IFERROR(N127/$N$18*100,"0.00")</f>
        <v>0</v>
      </c>
    </row>
    <row r="128" spans="1:15" ht="12.75" x14ac:dyDescent="0.2">
      <c r="A128" s="325">
        <v>2</v>
      </c>
      <c r="B128" s="326">
        <v>2</v>
      </c>
      <c r="C128" s="326">
        <v>7</v>
      </c>
      <c r="D128" s="326">
        <v>1</v>
      </c>
      <c r="E128" s="326" t="s">
        <v>616</v>
      </c>
      <c r="F128" s="336" t="s">
        <v>699</v>
      </c>
      <c r="G128" s="27"/>
      <c r="H128" s="27"/>
      <c r="I128" s="27"/>
      <c r="J128" s="27"/>
      <c r="K128" s="27"/>
      <c r="L128" s="27"/>
      <c r="M128" s="27">
        <v>2235000</v>
      </c>
      <c r="N128" s="343">
        <f>SUBTOTAL(9,G128:M128)</f>
        <v>2235000</v>
      </c>
      <c r="O128" s="346">
        <f t="shared" ref="O128:O142" si="57">IFERROR(N128/$N$18*100,"0.00")</f>
        <v>0.47613514755161007</v>
      </c>
    </row>
    <row r="129" spans="1:15" ht="12.75" x14ac:dyDescent="0.2">
      <c r="A129" s="325">
        <v>2</v>
      </c>
      <c r="B129" s="326">
        <v>2</v>
      </c>
      <c r="C129" s="326">
        <v>7</v>
      </c>
      <c r="D129" s="326">
        <v>1</v>
      </c>
      <c r="E129" s="326" t="s">
        <v>643</v>
      </c>
      <c r="F129" s="336" t="s">
        <v>700</v>
      </c>
      <c r="G129" s="27"/>
      <c r="H129" s="27"/>
      <c r="I129" s="27"/>
      <c r="J129" s="27"/>
      <c r="K129" s="27"/>
      <c r="L129" s="27"/>
      <c r="M129" s="27"/>
      <c r="N129" s="343">
        <f>SUBTOTAL(9,G129:M129)</f>
        <v>0</v>
      </c>
      <c r="O129" s="346">
        <f t="shared" si="57"/>
        <v>0</v>
      </c>
    </row>
    <row r="130" spans="1:15" ht="12.75" x14ac:dyDescent="0.2">
      <c r="A130" s="325">
        <v>2</v>
      </c>
      <c r="B130" s="326">
        <v>2</v>
      </c>
      <c r="C130" s="326">
        <v>7</v>
      </c>
      <c r="D130" s="326">
        <v>1</v>
      </c>
      <c r="E130" s="326" t="s">
        <v>701</v>
      </c>
      <c r="F130" s="336" t="s">
        <v>702</v>
      </c>
      <c r="G130" s="27"/>
      <c r="H130" s="27"/>
      <c r="I130" s="27"/>
      <c r="J130" s="27"/>
      <c r="K130" s="27"/>
      <c r="L130" s="27"/>
      <c r="M130" s="27"/>
      <c r="N130" s="343">
        <f>SUBTOTAL(9,G130:M130)</f>
        <v>0</v>
      </c>
      <c r="O130" s="346">
        <f t="shared" si="57"/>
        <v>0</v>
      </c>
    </row>
    <row r="131" spans="1:15" ht="12.75" x14ac:dyDescent="0.2">
      <c r="A131" s="322">
        <v>2</v>
      </c>
      <c r="B131" s="323">
        <v>2</v>
      </c>
      <c r="C131" s="323">
        <v>7</v>
      </c>
      <c r="D131" s="323">
        <v>2</v>
      </c>
      <c r="E131" s="323"/>
      <c r="F131" s="331" t="s">
        <v>703</v>
      </c>
      <c r="G131" s="30">
        <f>SUM(G132:G140)</f>
        <v>0</v>
      </c>
      <c r="H131" s="30">
        <f t="shared" ref="H131:O131" si="58">SUM(H132:H140)</f>
        <v>0</v>
      </c>
      <c r="I131" s="30">
        <f t="shared" si="58"/>
        <v>0</v>
      </c>
      <c r="J131" s="30">
        <f t="shared" si="58"/>
        <v>0</v>
      </c>
      <c r="K131" s="30">
        <f t="shared" si="58"/>
        <v>0</v>
      </c>
      <c r="L131" s="30">
        <f t="shared" si="58"/>
        <v>0</v>
      </c>
      <c r="M131" s="30">
        <f t="shared" si="58"/>
        <v>2000000</v>
      </c>
      <c r="N131" s="30">
        <f>SUM(N132:N140)</f>
        <v>2000000</v>
      </c>
      <c r="O131" s="54">
        <f t="shared" si="58"/>
        <v>0.42607172040412544</v>
      </c>
    </row>
    <row r="132" spans="1:15" ht="12.75" x14ac:dyDescent="0.2">
      <c r="A132" s="325">
        <v>2</v>
      </c>
      <c r="B132" s="326">
        <v>2</v>
      </c>
      <c r="C132" s="326">
        <v>7</v>
      </c>
      <c r="D132" s="326">
        <v>2</v>
      </c>
      <c r="E132" s="326" t="s">
        <v>610</v>
      </c>
      <c r="F132" s="336" t="s">
        <v>704</v>
      </c>
      <c r="G132" s="27"/>
      <c r="H132" s="27"/>
      <c r="I132" s="27"/>
      <c r="J132" s="27"/>
      <c r="K132" s="27"/>
      <c r="L132" s="27"/>
      <c r="M132" s="27"/>
      <c r="N132" s="344">
        <f>SUBTOTAL(9,G132:M132)</f>
        <v>0</v>
      </c>
      <c r="O132" s="346">
        <f t="shared" si="57"/>
        <v>0</v>
      </c>
    </row>
    <row r="133" spans="1:15" ht="12.75" x14ac:dyDescent="0.2">
      <c r="A133" s="325">
        <v>2</v>
      </c>
      <c r="B133" s="326">
        <v>2</v>
      </c>
      <c r="C133" s="326">
        <v>7</v>
      </c>
      <c r="D133" s="326">
        <v>2</v>
      </c>
      <c r="E133" s="326" t="s">
        <v>612</v>
      </c>
      <c r="F133" s="336" t="s">
        <v>705</v>
      </c>
      <c r="G133" s="27"/>
      <c r="H133" s="27"/>
      <c r="I133" s="27"/>
      <c r="J133" s="27"/>
      <c r="K133" s="27"/>
      <c r="L133" s="27"/>
      <c r="M133" s="27"/>
      <c r="N133" s="344">
        <f t="shared" ref="N133:N142" si="59">SUBTOTAL(9,G133:M133)</f>
        <v>0</v>
      </c>
      <c r="O133" s="346">
        <f t="shared" si="57"/>
        <v>0</v>
      </c>
    </row>
    <row r="134" spans="1:15" ht="12.75" x14ac:dyDescent="0.2">
      <c r="A134" s="325">
        <v>2</v>
      </c>
      <c r="B134" s="326">
        <v>2</v>
      </c>
      <c r="C134" s="326">
        <v>7</v>
      </c>
      <c r="D134" s="326">
        <v>2</v>
      </c>
      <c r="E134" s="326" t="s">
        <v>619</v>
      </c>
      <c r="F134" s="336" t="s">
        <v>706</v>
      </c>
      <c r="G134" s="27"/>
      <c r="H134" s="27"/>
      <c r="I134" s="27"/>
      <c r="J134" s="27"/>
      <c r="K134" s="27"/>
      <c r="L134" s="27"/>
      <c r="M134" s="27"/>
      <c r="N134" s="344">
        <f t="shared" si="59"/>
        <v>0</v>
      </c>
      <c r="O134" s="346">
        <f t="shared" si="57"/>
        <v>0</v>
      </c>
    </row>
    <row r="135" spans="1:15" ht="12.75" x14ac:dyDescent="0.2">
      <c r="A135" s="325">
        <v>2</v>
      </c>
      <c r="B135" s="326">
        <v>2</v>
      </c>
      <c r="C135" s="326">
        <v>7</v>
      </c>
      <c r="D135" s="326">
        <v>2</v>
      </c>
      <c r="E135" s="326" t="s">
        <v>634</v>
      </c>
      <c r="F135" s="336" t="s">
        <v>707</v>
      </c>
      <c r="G135" s="27"/>
      <c r="H135" s="27"/>
      <c r="I135" s="27"/>
      <c r="J135" s="27"/>
      <c r="K135" s="27"/>
      <c r="L135" s="27"/>
      <c r="M135" s="27"/>
      <c r="N135" s="344">
        <f t="shared" si="59"/>
        <v>0</v>
      </c>
      <c r="O135" s="346">
        <f t="shared" si="57"/>
        <v>0</v>
      </c>
    </row>
    <row r="136" spans="1:15" ht="12.75" x14ac:dyDescent="0.2">
      <c r="A136" s="325">
        <v>2</v>
      </c>
      <c r="B136" s="326">
        <v>2</v>
      </c>
      <c r="C136" s="326">
        <v>7</v>
      </c>
      <c r="D136" s="326">
        <v>2</v>
      </c>
      <c r="E136" s="326" t="s">
        <v>614</v>
      </c>
      <c r="F136" s="336" t="s">
        <v>708</v>
      </c>
      <c r="G136" s="27"/>
      <c r="H136" s="27"/>
      <c r="I136" s="27"/>
      <c r="J136" s="27"/>
      <c r="K136" s="27"/>
      <c r="L136" s="27"/>
      <c r="M136" s="27"/>
      <c r="N136" s="344">
        <f t="shared" si="59"/>
        <v>0</v>
      </c>
      <c r="O136" s="346">
        <f t="shared" si="57"/>
        <v>0</v>
      </c>
    </row>
    <row r="137" spans="1:15" ht="12.75" x14ac:dyDescent="0.2">
      <c r="A137" s="325">
        <v>2</v>
      </c>
      <c r="B137" s="326">
        <v>2</v>
      </c>
      <c r="C137" s="326">
        <v>7</v>
      </c>
      <c r="D137" s="326">
        <v>2</v>
      </c>
      <c r="E137" s="326" t="s">
        <v>616</v>
      </c>
      <c r="F137" s="337" t="s">
        <v>709</v>
      </c>
      <c r="G137" s="27"/>
      <c r="H137" s="27"/>
      <c r="I137" s="27"/>
      <c r="J137" s="27"/>
      <c r="K137" s="27"/>
      <c r="L137" s="27"/>
      <c r="M137" s="27"/>
      <c r="N137" s="344">
        <f t="shared" si="59"/>
        <v>0</v>
      </c>
      <c r="O137" s="346">
        <f t="shared" si="57"/>
        <v>0</v>
      </c>
    </row>
    <row r="138" spans="1:15" ht="12.75" x14ac:dyDescent="0.2">
      <c r="A138" s="325">
        <v>2</v>
      </c>
      <c r="B138" s="326">
        <v>2</v>
      </c>
      <c r="C138" s="326">
        <v>7</v>
      </c>
      <c r="D138" s="326">
        <v>2</v>
      </c>
      <c r="E138" s="326" t="s">
        <v>643</v>
      </c>
      <c r="F138" s="337" t="s">
        <v>710</v>
      </c>
      <c r="G138" s="27"/>
      <c r="H138" s="27"/>
      <c r="I138" s="27"/>
      <c r="J138" s="27"/>
      <c r="K138" s="27"/>
      <c r="L138" s="27"/>
      <c r="M138" s="27"/>
      <c r="N138" s="344">
        <f t="shared" si="59"/>
        <v>0</v>
      </c>
      <c r="O138" s="346">
        <f t="shared" si="57"/>
        <v>0</v>
      </c>
    </row>
    <row r="139" spans="1:15" ht="12.75" x14ac:dyDescent="0.2">
      <c r="A139" s="325">
        <v>2</v>
      </c>
      <c r="B139" s="326">
        <v>2</v>
      </c>
      <c r="C139" s="326">
        <v>7</v>
      </c>
      <c r="D139" s="326">
        <v>2</v>
      </c>
      <c r="E139" s="326" t="s">
        <v>623</v>
      </c>
      <c r="F139" s="337" t="s">
        <v>711</v>
      </c>
      <c r="G139" s="27"/>
      <c r="H139" s="27"/>
      <c r="I139" s="27"/>
      <c r="J139" s="27"/>
      <c r="K139" s="27"/>
      <c r="L139" s="27"/>
      <c r="M139" s="27"/>
      <c r="N139" s="344">
        <f t="shared" si="59"/>
        <v>0</v>
      </c>
      <c r="O139" s="346">
        <f t="shared" si="57"/>
        <v>0</v>
      </c>
    </row>
    <row r="140" spans="1:15" ht="12.75" x14ac:dyDescent="0.2">
      <c r="A140" s="325">
        <v>2</v>
      </c>
      <c r="B140" s="326">
        <v>2</v>
      </c>
      <c r="C140" s="326">
        <v>7</v>
      </c>
      <c r="D140" s="326">
        <v>2</v>
      </c>
      <c r="E140" s="326" t="s">
        <v>701</v>
      </c>
      <c r="F140" s="337" t="s">
        <v>712</v>
      </c>
      <c r="G140" s="27"/>
      <c r="H140" s="27"/>
      <c r="I140" s="27"/>
      <c r="J140" s="27"/>
      <c r="K140" s="27"/>
      <c r="L140" s="27"/>
      <c r="M140" s="27">
        <v>2000000</v>
      </c>
      <c r="N140" s="344">
        <f t="shared" si="59"/>
        <v>2000000</v>
      </c>
      <c r="O140" s="346">
        <f t="shared" si="57"/>
        <v>0.42607172040412544</v>
      </c>
    </row>
    <row r="141" spans="1:15" ht="12.75" x14ac:dyDescent="0.2">
      <c r="A141" s="322">
        <v>2</v>
      </c>
      <c r="B141" s="323">
        <v>2</v>
      </c>
      <c r="C141" s="323">
        <v>7</v>
      </c>
      <c r="D141" s="323">
        <v>3</v>
      </c>
      <c r="E141" s="323"/>
      <c r="F141" s="331" t="s">
        <v>713</v>
      </c>
      <c r="G141" s="30">
        <f>G142</f>
        <v>0</v>
      </c>
      <c r="H141" s="30">
        <f t="shared" ref="H141:O141" si="60">H142</f>
        <v>0</v>
      </c>
      <c r="I141" s="30">
        <f t="shared" si="60"/>
        <v>0</v>
      </c>
      <c r="J141" s="30">
        <f t="shared" si="60"/>
        <v>0</v>
      </c>
      <c r="K141" s="30">
        <f t="shared" si="60"/>
        <v>0</v>
      </c>
      <c r="L141" s="30">
        <f t="shared" si="60"/>
        <v>0</v>
      </c>
      <c r="M141" s="30">
        <f t="shared" si="60"/>
        <v>0</v>
      </c>
      <c r="N141" s="30">
        <f t="shared" si="60"/>
        <v>0</v>
      </c>
      <c r="O141" s="54">
        <f t="shared" si="60"/>
        <v>0</v>
      </c>
    </row>
    <row r="142" spans="1:15" ht="12.75" x14ac:dyDescent="0.2">
      <c r="A142" s="325">
        <v>2</v>
      </c>
      <c r="B142" s="326">
        <v>2</v>
      </c>
      <c r="C142" s="326">
        <v>7</v>
      </c>
      <c r="D142" s="326">
        <v>3</v>
      </c>
      <c r="E142" s="326" t="s">
        <v>610</v>
      </c>
      <c r="F142" s="327" t="s">
        <v>713</v>
      </c>
      <c r="G142" s="27"/>
      <c r="H142" s="27"/>
      <c r="I142" s="27"/>
      <c r="J142" s="27"/>
      <c r="K142" s="27"/>
      <c r="L142" s="27"/>
      <c r="M142" s="27"/>
      <c r="N142" s="344">
        <f t="shared" si="59"/>
        <v>0</v>
      </c>
      <c r="O142" s="346">
        <f t="shared" si="57"/>
        <v>0</v>
      </c>
    </row>
    <row r="143" spans="1:15" ht="12.75" x14ac:dyDescent="0.2">
      <c r="A143" s="319">
        <v>2</v>
      </c>
      <c r="B143" s="320">
        <v>2</v>
      </c>
      <c r="C143" s="320">
        <v>8</v>
      </c>
      <c r="D143" s="320"/>
      <c r="E143" s="320"/>
      <c r="F143" s="321" t="s">
        <v>714</v>
      </c>
      <c r="G143" s="32">
        <f>+G144+G146+G148+G150+G154+G157+G164</f>
        <v>0</v>
      </c>
      <c r="H143" s="32">
        <f t="shared" ref="H143:O143" si="61">+H144+H146+H148+H150+H154+H157+H164</f>
        <v>0</v>
      </c>
      <c r="I143" s="32">
        <f t="shared" si="61"/>
        <v>0</v>
      </c>
      <c r="J143" s="32">
        <f t="shared" si="61"/>
        <v>0</v>
      </c>
      <c r="K143" s="32">
        <f t="shared" si="61"/>
        <v>0</v>
      </c>
      <c r="L143" s="32">
        <f t="shared" si="61"/>
        <v>0</v>
      </c>
      <c r="M143" s="32">
        <f t="shared" si="61"/>
        <v>377351.88</v>
      </c>
      <c r="N143" s="32">
        <f t="shared" si="61"/>
        <v>377351.88</v>
      </c>
      <c r="O143" s="32">
        <f t="shared" si="61"/>
        <v>8.0389482354665531E-2</v>
      </c>
    </row>
    <row r="144" spans="1:15" ht="12.75" x14ac:dyDescent="0.2">
      <c r="A144" s="322">
        <v>2</v>
      </c>
      <c r="B144" s="323">
        <v>2</v>
      </c>
      <c r="C144" s="323">
        <v>8</v>
      </c>
      <c r="D144" s="323">
        <v>1</v>
      </c>
      <c r="E144" s="323"/>
      <c r="F144" s="331" t="s">
        <v>715</v>
      </c>
      <c r="G144" s="30">
        <f>G145</f>
        <v>0</v>
      </c>
      <c r="H144" s="29">
        <f t="shared" ref="H144:O144" si="62">H145</f>
        <v>0</v>
      </c>
      <c r="I144" s="29">
        <f t="shared" si="62"/>
        <v>0</v>
      </c>
      <c r="J144" s="29">
        <f t="shared" si="62"/>
        <v>0</v>
      </c>
      <c r="K144" s="29">
        <f t="shared" si="62"/>
        <v>0</v>
      </c>
      <c r="L144" s="29">
        <f t="shared" si="62"/>
        <v>0</v>
      </c>
      <c r="M144" s="29">
        <f t="shared" si="62"/>
        <v>0</v>
      </c>
      <c r="N144" s="29">
        <f t="shared" si="62"/>
        <v>0</v>
      </c>
      <c r="O144" s="53">
        <f t="shared" si="62"/>
        <v>0</v>
      </c>
    </row>
    <row r="145" spans="1:15" ht="12.75" x14ac:dyDescent="0.2">
      <c r="A145" s="325">
        <v>2</v>
      </c>
      <c r="B145" s="326">
        <v>2</v>
      </c>
      <c r="C145" s="326">
        <v>8</v>
      </c>
      <c r="D145" s="326">
        <v>1</v>
      </c>
      <c r="E145" s="326" t="s">
        <v>610</v>
      </c>
      <c r="F145" s="327" t="s">
        <v>715</v>
      </c>
      <c r="G145" s="27"/>
      <c r="H145" s="27"/>
      <c r="I145" s="27"/>
      <c r="J145" s="27"/>
      <c r="K145" s="27"/>
      <c r="L145" s="27"/>
      <c r="M145" s="27"/>
      <c r="N145" s="343">
        <f>SUBTOTAL(9,G145:M145)</f>
        <v>0</v>
      </c>
      <c r="O145" s="346">
        <f>IFERROR(N145/$N$18*100,"0.00")</f>
        <v>0</v>
      </c>
    </row>
    <row r="146" spans="1:15" ht="12.75" x14ac:dyDescent="0.2">
      <c r="A146" s="322">
        <v>2</v>
      </c>
      <c r="B146" s="323">
        <v>2</v>
      </c>
      <c r="C146" s="323">
        <v>8</v>
      </c>
      <c r="D146" s="323">
        <v>2</v>
      </c>
      <c r="E146" s="323"/>
      <c r="F146" s="331" t="s">
        <v>716</v>
      </c>
      <c r="G146" s="30">
        <f t="shared" ref="G146:O146" si="63">G147</f>
        <v>0</v>
      </c>
      <c r="H146" s="30">
        <f t="shared" si="63"/>
        <v>0</v>
      </c>
      <c r="I146" s="30">
        <f t="shared" si="63"/>
        <v>0</v>
      </c>
      <c r="J146" s="30">
        <f t="shared" si="63"/>
        <v>0</v>
      </c>
      <c r="K146" s="30">
        <f t="shared" si="63"/>
        <v>0</v>
      </c>
      <c r="L146" s="30">
        <f t="shared" si="63"/>
        <v>0</v>
      </c>
      <c r="M146" s="30">
        <f t="shared" si="63"/>
        <v>0</v>
      </c>
      <c r="N146" s="30">
        <f t="shared" si="63"/>
        <v>0</v>
      </c>
      <c r="O146" s="53">
        <f t="shared" si="63"/>
        <v>0</v>
      </c>
    </row>
    <row r="147" spans="1:15" ht="12.75" x14ac:dyDescent="0.2">
      <c r="A147" s="325">
        <v>2</v>
      </c>
      <c r="B147" s="326">
        <v>2</v>
      </c>
      <c r="C147" s="326">
        <v>8</v>
      </c>
      <c r="D147" s="326">
        <v>2</v>
      </c>
      <c r="E147" s="326" t="s">
        <v>610</v>
      </c>
      <c r="F147" s="327" t="s">
        <v>717</v>
      </c>
      <c r="G147" s="27"/>
      <c r="H147" s="27"/>
      <c r="I147" s="27"/>
      <c r="J147" s="27"/>
      <c r="K147" s="27"/>
      <c r="L147" s="27"/>
      <c r="M147" s="27"/>
      <c r="N147" s="344">
        <f>SUBTOTAL(9,G147:M147)</f>
        <v>0</v>
      </c>
      <c r="O147" s="345">
        <f>IFERROR(N147/$N$18*100,"0.00")</f>
        <v>0</v>
      </c>
    </row>
    <row r="148" spans="1:15" ht="12.75" x14ac:dyDescent="0.2">
      <c r="A148" s="322">
        <v>2</v>
      </c>
      <c r="B148" s="323">
        <v>2</v>
      </c>
      <c r="C148" s="323">
        <v>8</v>
      </c>
      <c r="D148" s="323">
        <v>4</v>
      </c>
      <c r="E148" s="323"/>
      <c r="F148" s="331" t="s">
        <v>718</v>
      </c>
      <c r="G148" s="30">
        <f>G149</f>
        <v>0</v>
      </c>
      <c r="H148" s="30">
        <f t="shared" ref="H148:M148" si="64">H149</f>
        <v>0</v>
      </c>
      <c r="I148" s="30">
        <f t="shared" si="64"/>
        <v>0</v>
      </c>
      <c r="J148" s="30">
        <f t="shared" si="64"/>
        <v>0</v>
      </c>
      <c r="K148" s="30">
        <f t="shared" si="64"/>
        <v>0</v>
      </c>
      <c r="L148" s="30">
        <f t="shared" si="64"/>
        <v>0</v>
      </c>
      <c r="M148" s="30">
        <f t="shared" si="64"/>
        <v>0</v>
      </c>
      <c r="N148" s="30">
        <f>N149</f>
        <v>0</v>
      </c>
      <c r="O148" s="53">
        <f>O149</f>
        <v>0</v>
      </c>
    </row>
    <row r="149" spans="1:15" ht="12.75" x14ac:dyDescent="0.2">
      <c r="A149" s="325">
        <v>2</v>
      </c>
      <c r="B149" s="326">
        <v>2</v>
      </c>
      <c r="C149" s="326">
        <v>8</v>
      </c>
      <c r="D149" s="326">
        <v>4</v>
      </c>
      <c r="E149" s="326" t="s">
        <v>610</v>
      </c>
      <c r="F149" s="327" t="s">
        <v>718</v>
      </c>
      <c r="G149" s="27"/>
      <c r="H149" s="27"/>
      <c r="I149" s="27"/>
      <c r="J149" s="27"/>
      <c r="K149" s="27"/>
      <c r="L149" s="27"/>
      <c r="M149" s="27"/>
      <c r="N149" s="344">
        <f>SUBTOTAL(9,G149:M149)</f>
        <v>0</v>
      </c>
      <c r="O149" s="345">
        <f>IFERROR(N149/$N$18*100,"0.00")</f>
        <v>0</v>
      </c>
    </row>
    <row r="150" spans="1:15" ht="12.75" x14ac:dyDescent="0.2">
      <c r="A150" s="322">
        <v>2</v>
      </c>
      <c r="B150" s="323">
        <v>2</v>
      </c>
      <c r="C150" s="323">
        <v>8</v>
      </c>
      <c r="D150" s="323">
        <v>5</v>
      </c>
      <c r="E150" s="323"/>
      <c r="F150" s="331" t="s">
        <v>719</v>
      </c>
      <c r="G150" s="30">
        <f>SUM(G151:G153)</f>
        <v>0</v>
      </c>
      <c r="H150" s="30">
        <f t="shared" ref="H150:N150" si="65">SUM(H151:H153)</f>
        <v>0</v>
      </c>
      <c r="I150" s="30">
        <f t="shared" si="65"/>
        <v>0</v>
      </c>
      <c r="J150" s="30">
        <f t="shared" si="65"/>
        <v>0</v>
      </c>
      <c r="K150" s="30">
        <f t="shared" si="65"/>
        <v>0</v>
      </c>
      <c r="L150" s="30">
        <f t="shared" si="65"/>
        <v>0</v>
      </c>
      <c r="M150" s="30">
        <f t="shared" si="65"/>
        <v>377351.88</v>
      </c>
      <c r="N150" s="30">
        <f t="shared" si="65"/>
        <v>377351.88</v>
      </c>
      <c r="O150" s="53">
        <f>SUM(O151:O153)</f>
        <v>8.0389482354665531E-2</v>
      </c>
    </row>
    <row r="151" spans="1:15" ht="12.75" x14ac:dyDescent="0.2">
      <c r="A151" s="325">
        <v>2</v>
      </c>
      <c r="B151" s="326">
        <v>2</v>
      </c>
      <c r="C151" s="326">
        <v>8</v>
      </c>
      <c r="D151" s="326">
        <v>5</v>
      </c>
      <c r="E151" s="326" t="s">
        <v>610</v>
      </c>
      <c r="F151" s="327" t="s">
        <v>720</v>
      </c>
      <c r="G151" s="27"/>
      <c r="H151" s="27"/>
      <c r="I151" s="27"/>
      <c r="J151" s="27"/>
      <c r="K151" s="27"/>
      <c r="L151" s="27"/>
      <c r="M151" s="27">
        <v>377351.88</v>
      </c>
      <c r="N151" s="344">
        <f>SUBTOTAL(9,G151:M151)</f>
        <v>377351.88</v>
      </c>
      <c r="O151" s="345">
        <f t="shared" ref="O151:O156" si="66">IFERROR(N151/$N$18*100,"0.00")</f>
        <v>8.0389482354665531E-2</v>
      </c>
    </row>
    <row r="152" spans="1:15" ht="12.75" x14ac:dyDescent="0.2">
      <c r="A152" s="325">
        <v>2</v>
      </c>
      <c r="B152" s="326">
        <v>2</v>
      </c>
      <c r="C152" s="326">
        <v>8</v>
      </c>
      <c r="D152" s="326">
        <v>5</v>
      </c>
      <c r="E152" s="326" t="s">
        <v>612</v>
      </c>
      <c r="F152" s="327" t="s">
        <v>721</v>
      </c>
      <c r="G152" s="27"/>
      <c r="H152" s="27"/>
      <c r="I152" s="27"/>
      <c r="J152" s="27"/>
      <c r="K152" s="27"/>
      <c r="L152" s="27"/>
      <c r="M152" s="27"/>
      <c r="N152" s="344">
        <f t="shared" ref="N152:N167" si="67">SUBTOTAL(9,G152:M152)</f>
        <v>0</v>
      </c>
      <c r="O152" s="346">
        <f t="shared" si="66"/>
        <v>0</v>
      </c>
    </row>
    <row r="153" spans="1:15" ht="12.75" x14ac:dyDescent="0.2">
      <c r="A153" s="325">
        <v>2</v>
      </c>
      <c r="B153" s="326">
        <v>2</v>
      </c>
      <c r="C153" s="326">
        <v>8</v>
      </c>
      <c r="D153" s="326">
        <v>5</v>
      </c>
      <c r="E153" s="326" t="s">
        <v>619</v>
      </c>
      <c r="F153" s="327" t="s">
        <v>722</v>
      </c>
      <c r="G153" s="27"/>
      <c r="H153" s="27"/>
      <c r="I153" s="27"/>
      <c r="J153" s="27"/>
      <c r="K153" s="27"/>
      <c r="L153" s="27"/>
      <c r="M153" s="27"/>
      <c r="N153" s="344">
        <f t="shared" si="67"/>
        <v>0</v>
      </c>
      <c r="O153" s="345">
        <f t="shared" si="66"/>
        <v>0</v>
      </c>
    </row>
    <row r="154" spans="1:15" ht="12.75" x14ac:dyDescent="0.2">
      <c r="A154" s="322">
        <v>2</v>
      </c>
      <c r="B154" s="323">
        <v>2</v>
      </c>
      <c r="C154" s="323">
        <v>8</v>
      </c>
      <c r="D154" s="323">
        <v>6</v>
      </c>
      <c r="E154" s="323"/>
      <c r="F154" s="331" t="s">
        <v>723</v>
      </c>
      <c r="G154" s="30">
        <f>SUM(G155:G156)</f>
        <v>0</v>
      </c>
      <c r="H154" s="30">
        <f t="shared" ref="H154:O154" si="68">SUM(H155:H156)</f>
        <v>0</v>
      </c>
      <c r="I154" s="30">
        <f t="shared" si="68"/>
        <v>0</v>
      </c>
      <c r="J154" s="30">
        <f t="shared" si="68"/>
        <v>0</v>
      </c>
      <c r="K154" s="30">
        <f t="shared" si="68"/>
        <v>0</v>
      </c>
      <c r="L154" s="30">
        <f t="shared" si="68"/>
        <v>0</v>
      </c>
      <c r="M154" s="30">
        <f t="shared" si="68"/>
        <v>0</v>
      </c>
      <c r="N154" s="30">
        <f t="shared" si="68"/>
        <v>0</v>
      </c>
      <c r="O154" s="53">
        <f t="shared" si="68"/>
        <v>0</v>
      </c>
    </row>
    <row r="155" spans="1:15" ht="12.75" x14ac:dyDescent="0.2">
      <c r="A155" s="325">
        <v>2</v>
      </c>
      <c r="B155" s="326">
        <v>2</v>
      </c>
      <c r="C155" s="326">
        <v>8</v>
      </c>
      <c r="D155" s="326">
        <v>6</v>
      </c>
      <c r="E155" s="326" t="s">
        <v>610</v>
      </c>
      <c r="F155" s="327" t="s">
        <v>724</v>
      </c>
      <c r="G155" s="27"/>
      <c r="H155" s="27"/>
      <c r="I155" s="27"/>
      <c r="J155" s="27"/>
      <c r="K155" s="27"/>
      <c r="L155" s="27"/>
      <c r="M155" s="27"/>
      <c r="N155" s="344">
        <f t="shared" si="67"/>
        <v>0</v>
      </c>
      <c r="O155" s="346">
        <f t="shared" si="66"/>
        <v>0</v>
      </c>
    </row>
    <row r="156" spans="1:15" ht="12.75" x14ac:dyDescent="0.2">
      <c r="A156" s="325">
        <v>2</v>
      </c>
      <c r="B156" s="326">
        <v>2</v>
      </c>
      <c r="C156" s="326">
        <v>8</v>
      </c>
      <c r="D156" s="326">
        <v>6</v>
      </c>
      <c r="E156" s="326" t="s">
        <v>612</v>
      </c>
      <c r="F156" s="327" t="s">
        <v>725</v>
      </c>
      <c r="G156" s="27"/>
      <c r="H156" s="27"/>
      <c r="I156" s="27"/>
      <c r="J156" s="27"/>
      <c r="K156" s="27"/>
      <c r="L156" s="27"/>
      <c r="M156" s="27"/>
      <c r="N156" s="344">
        <f t="shared" si="67"/>
        <v>0</v>
      </c>
      <c r="O156" s="346">
        <f t="shared" si="66"/>
        <v>0</v>
      </c>
    </row>
    <row r="157" spans="1:15" ht="12.75" x14ac:dyDescent="0.2">
      <c r="A157" s="322">
        <v>2</v>
      </c>
      <c r="B157" s="323">
        <v>2</v>
      </c>
      <c r="C157" s="323">
        <v>8</v>
      </c>
      <c r="D157" s="323">
        <v>7</v>
      </c>
      <c r="E157" s="323"/>
      <c r="F157" s="331" t="s">
        <v>726</v>
      </c>
      <c r="G157" s="30">
        <f>SUM(G158:G163)</f>
        <v>0</v>
      </c>
      <c r="H157" s="30">
        <f t="shared" ref="H157:O157" si="69">SUM(H158:H163)</f>
        <v>0</v>
      </c>
      <c r="I157" s="30">
        <f t="shared" si="69"/>
        <v>0</v>
      </c>
      <c r="J157" s="30">
        <f t="shared" si="69"/>
        <v>0</v>
      </c>
      <c r="K157" s="30">
        <f t="shared" si="69"/>
        <v>0</v>
      </c>
      <c r="L157" s="30">
        <f t="shared" si="69"/>
        <v>0</v>
      </c>
      <c r="M157" s="30">
        <f t="shared" si="69"/>
        <v>0</v>
      </c>
      <c r="N157" s="30">
        <f t="shared" si="69"/>
        <v>0</v>
      </c>
      <c r="O157" s="53">
        <f t="shared" si="69"/>
        <v>0</v>
      </c>
    </row>
    <row r="158" spans="1:15" ht="12.75" x14ac:dyDescent="0.2">
      <c r="A158" s="325">
        <v>2</v>
      </c>
      <c r="B158" s="326">
        <v>2</v>
      </c>
      <c r="C158" s="326">
        <v>8</v>
      </c>
      <c r="D158" s="326">
        <v>7</v>
      </c>
      <c r="E158" s="326" t="s">
        <v>610</v>
      </c>
      <c r="F158" s="337" t="s">
        <v>727</v>
      </c>
      <c r="G158" s="27"/>
      <c r="H158" s="27"/>
      <c r="I158" s="27"/>
      <c r="J158" s="27"/>
      <c r="K158" s="27"/>
      <c r="L158" s="27"/>
      <c r="M158" s="27"/>
      <c r="N158" s="344">
        <f t="shared" si="67"/>
        <v>0</v>
      </c>
      <c r="O158" s="346">
        <f>IFERROR(N158/$N$18*100,"0.00")</f>
        <v>0</v>
      </c>
    </row>
    <row r="159" spans="1:15" ht="12.75" x14ac:dyDescent="0.2">
      <c r="A159" s="325">
        <v>2</v>
      </c>
      <c r="B159" s="326">
        <v>2</v>
      </c>
      <c r="C159" s="326">
        <v>8</v>
      </c>
      <c r="D159" s="326">
        <v>7</v>
      </c>
      <c r="E159" s="326" t="s">
        <v>612</v>
      </c>
      <c r="F159" s="337" t="s">
        <v>728</v>
      </c>
      <c r="G159" s="27"/>
      <c r="H159" s="27"/>
      <c r="I159" s="27"/>
      <c r="J159" s="27"/>
      <c r="K159" s="27"/>
      <c r="L159" s="27"/>
      <c r="M159" s="27"/>
      <c r="N159" s="344">
        <f t="shared" si="67"/>
        <v>0</v>
      </c>
      <c r="O159" s="346">
        <f t="shared" ref="O159:O167" si="70">IFERROR(N159/$N$18*100,"0.00")</f>
        <v>0</v>
      </c>
    </row>
    <row r="160" spans="1:15" ht="12.75" x14ac:dyDescent="0.2">
      <c r="A160" s="325">
        <v>2</v>
      </c>
      <c r="B160" s="326">
        <v>2</v>
      </c>
      <c r="C160" s="326">
        <v>8</v>
      </c>
      <c r="D160" s="326">
        <v>7</v>
      </c>
      <c r="E160" s="326" t="s">
        <v>619</v>
      </c>
      <c r="F160" s="337" t="s">
        <v>729</v>
      </c>
      <c r="G160" s="27"/>
      <c r="H160" s="27"/>
      <c r="I160" s="27"/>
      <c r="J160" s="27"/>
      <c r="K160" s="27"/>
      <c r="L160" s="27"/>
      <c r="M160" s="27"/>
      <c r="N160" s="344">
        <f t="shared" si="67"/>
        <v>0</v>
      </c>
      <c r="O160" s="346">
        <f t="shared" si="70"/>
        <v>0</v>
      </c>
    </row>
    <row r="161" spans="1:15" ht="12.75" x14ac:dyDescent="0.2">
      <c r="A161" s="325">
        <v>2</v>
      </c>
      <c r="B161" s="326">
        <v>2</v>
      </c>
      <c r="C161" s="326">
        <v>8</v>
      </c>
      <c r="D161" s="326">
        <v>7</v>
      </c>
      <c r="E161" s="326" t="s">
        <v>634</v>
      </c>
      <c r="F161" s="337" t="s">
        <v>730</v>
      </c>
      <c r="G161" s="27"/>
      <c r="H161" s="27"/>
      <c r="I161" s="27"/>
      <c r="J161" s="27"/>
      <c r="K161" s="27"/>
      <c r="L161" s="27"/>
      <c r="M161" s="27"/>
      <c r="N161" s="344">
        <f t="shared" si="67"/>
        <v>0</v>
      </c>
      <c r="O161" s="346">
        <f t="shared" si="70"/>
        <v>0</v>
      </c>
    </row>
    <row r="162" spans="1:15" ht="12.75" x14ac:dyDescent="0.2">
      <c r="A162" s="325">
        <v>2</v>
      </c>
      <c r="B162" s="326">
        <v>2</v>
      </c>
      <c r="C162" s="326">
        <v>8</v>
      </c>
      <c r="D162" s="326">
        <v>7</v>
      </c>
      <c r="E162" s="326" t="s">
        <v>614</v>
      </c>
      <c r="F162" s="337" t="s">
        <v>731</v>
      </c>
      <c r="G162" s="27"/>
      <c r="H162" s="27"/>
      <c r="I162" s="27"/>
      <c r="J162" s="27"/>
      <c r="K162" s="27"/>
      <c r="L162" s="27"/>
      <c r="M162" s="27"/>
      <c r="N162" s="344">
        <f t="shared" si="67"/>
        <v>0</v>
      </c>
      <c r="O162" s="346">
        <f t="shared" si="70"/>
        <v>0</v>
      </c>
    </row>
    <row r="163" spans="1:15" ht="12.75" x14ac:dyDescent="0.2">
      <c r="A163" s="325">
        <v>2</v>
      </c>
      <c r="B163" s="326">
        <v>2</v>
      </c>
      <c r="C163" s="326">
        <v>8</v>
      </c>
      <c r="D163" s="326">
        <v>7</v>
      </c>
      <c r="E163" s="326" t="s">
        <v>616</v>
      </c>
      <c r="F163" s="337" t="s">
        <v>732</v>
      </c>
      <c r="G163" s="27"/>
      <c r="H163" s="27"/>
      <c r="I163" s="27"/>
      <c r="J163" s="27"/>
      <c r="K163" s="27"/>
      <c r="L163" s="27"/>
      <c r="M163" s="27"/>
      <c r="N163" s="344">
        <f t="shared" si="67"/>
        <v>0</v>
      </c>
      <c r="O163" s="346">
        <f t="shared" si="70"/>
        <v>0</v>
      </c>
    </row>
    <row r="164" spans="1:15" ht="12.75" x14ac:dyDescent="0.2">
      <c r="A164" s="322">
        <v>2</v>
      </c>
      <c r="B164" s="323">
        <v>2</v>
      </c>
      <c r="C164" s="323">
        <v>8</v>
      </c>
      <c r="D164" s="323">
        <v>8</v>
      </c>
      <c r="E164" s="323"/>
      <c r="F164" s="331" t="s">
        <v>733</v>
      </c>
      <c r="G164" s="30">
        <f>SUM(G165:G167)</f>
        <v>0</v>
      </c>
      <c r="H164" s="30">
        <f t="shared" ref="H164:O164" si="71">SUM(H165:H167)</f>
        <v>0</v>
      </c>
      <c r="I164" s="30">
        <f t="shared" si="71"/>
        <v>0</v>
      </c>
      <c r="J164" s="30">
        <f t="shared" si="71"/>
        <v>0</v>
      </c>
      <c r="K164" s="30">
        <f t="shared" si="71"/>
        <v>0</v>
      </c>
      <c r="L164" s="30">
        <f t="shared" si="71"/>
        <v>0</v>
      </c>
      <c r="M164" s="30">
        <f t="shared" si="71"/>
        <v>0</v>
      </c>
      <c r="N164" s="30">
        <f t="shared" si="71"/>
        <v>0</v>
      </c>
      <c r="O164" s="53">
        <f t="shared" si="71"/>
        <v>0</v>
      </c>
    </row>
    <row r="165" spans="1:15" ht="12.75" x14ac:dyDescent="0.2">
      <c r="A165" s="325">
        <v>2</v>
      </c>
      <c r="B165" s="326">
        <v>2</v>
      </c>
      <c r="C165" s="326">
        <v>8</v>
      </c>
      <c r="D165" s="326">
        <v>8</v>
      </c>
      <c r="E165" s="326" t="s">
        <v>610</v>
      </c>
      <c r="F165" s="337" t="s">
        <v>734</v>
      </c>
      <c r="G165" s="27"/>
      <c r="H165" s="27"/>
      <c r="I165" s="27"/>
      <c r="J165" s="27"/>
      <c r="K165" s="27"/>
      <c r="L165" s="27"/>
      <c r="M165" s="27"/>
      <c r="N165" s="344">
        <f t="shared" si="67"/>
        <v>0</v>
      </c>
      <c r="O165" s="346">
        <f t="shared" si="70"/>
        <v>0</v>
      </c>
    </row>
    <row r="166" spans="1:15" ht="12.75" x14ac:dyDescent="0.2">
      <c r="A166" s="325">
        <v>2</v>
      </c>
      <c r="B166" s="326">
        <v>2</v>
      </c>
      <c r="C166" s="326">
        <v>8</v>
      </c>
      <c r="D166" s="326">
        <v>8</v>
      </c>
      <c r="E166" s="326" t="s">
        <v>612</v>
      </c>
      <c r="F166" s="337" t="s">
        <v>735</v>
      </c>
      <c r="G166" s="27"/>
      <c r="H166" s="27"/>
      <c r="I166" s="27"/>
      <c r="J166" s="27"/>
      <c r="K166" s="27"/>
      <c r="L166" s="27"/>
      <c r="M166" s="27"/>
      <c r="N166" s="344">
        <f t="shared" si="67"/>
        <v>0</v>
      </c>
      <c r="O166" s="346">
        <f t="shared" si="70"/>
        <v>0</v>
      </c>
    </row>
    <row r="167" spans="1:15" ht="12.75" x14ac:dyDescent="0.2">
      <c r="A167" s="325">
        <v>2</v>
      </c>
      <c r="B167" s="326">
        <v>2</v>
      </c>
      <c r="C167" s="326">
        <v>8</v>
      </c>
      <c r="D167" s="326">
        <v>8</v>
      </c>
      <c r="E167" s="326" t="s">
        <v>619</v>
      </c>
      <c r="F167" s="337" t="s">
        <v>736</v>
      </c>
      <c r="G167" s="27"/>
      <c r="H167" s="27"/>
      <c r="I167" s="27"/>
      <c r="J167" s="27"/>
      <c r="K167" s="27"/>
      <c r="L167" s="27"/>
      <c r="M167" s="27"/>
      <c r="N167" s="344">
        <f t="shared" si="67"/>
        <v>0</v>
      </c>
      <c r="O167" s="346">
        <f t="shared" si="70"/>
        <v>0</v>
      </c>
    </row>
    <row r="168" spans="1:15" ht="12.75" x14ac:dyDescent="0.2">
      <c r="A168" s="322">
        <v>2</v>
      </c>
      <c r="B168" s="323">
        <v>2</v>
      </c>
      <c r="C168" s="323">
        <v>9</v>
      </c>
      <c r="D168" s="323">
        <v>2</v>
      </c>
      <c r="E168" s="326"/>
      <c r="F168" s="331" t="s">
        <v>737</v>
      </c>
      <c r="G168" s="29">
        <f>+G169+G170</f>
        <v>0</v>
      </c>
      <c r="H168" s="29">
        <f t="shared" ref="H168:O168" si="72">+H169+H170</f>
        <v>0</v>
      </c>
      <c r="I168" s="29">
        <f t="shared" si="72"/>
        <v>0</v>
      </c>
      <c r="J168" s="29">
        <f t="shared" si="72"/>
        <v>0</v>
      </c>
      <c r="K168" s="29">
        <f t="shared" si="72"/>
        <v>0</v>
      </c>
      <c r="L168" s="29">
        <f t="shared" si="72"/>
        <v>0</v>
      </c>
      <c r="M168" s="29">
        <f>+M169+M170</f>
        <v>0</v>
      </c>
      <c r="N168" s="29">
        <f t="shared" si="72"/>
        <v>0</v>
      </c>
      <c r="O168" s="53">
        <f t="shared" si="72"/>
        <v>0</v>
      </c>
    </row>
    <row r="169" spans="1:15" ht="12.75" x14ac:dyDescent="0.2">
      <c r="A169" s="325">
        <v>2</v>
      </c>
      <c r="B169" s="326">
        <v>2</v>
      </c>
      <c r="C169" s="326">
        <v>9</v>
      </c>
      <c r="D169" s="326">
        <v>2</v>
      </c>
      <c r="E169" s="326" t="s">
        <v>610</v>
      </c>
      <c r="F169" s="327" t="s">
        <v>738</v>
      </c>
      <c r="G169" s="27"/>
      <c r="H169" s="27"/>
      <c r="I169" s="27"/>
      <c r="J169" s="27"/>
      <c r="K169" s="27"/>
      <c r="L169" s="27"/>
      <c r="M169" s="27"/>
      <c r="N169" s="343">
        <f>SUBTOTAL(9,G169:M169)</f>
        <v>0</v>
      </c>
      <c r="O169" s="346">
        <f t="shared" ref="O169:O174" si="73">IFERROR(N169/$N$18*100,"0.00")</f>
        <v>0</v>
      </c>
    </row>
    <row r="170" spans="1:15" ht="12.75" x14ac:dyDescent="0.2">
      <c r="A170" s="325">
        <v>2</v>
      </c>
      <c r="B170" s="326">
        <v>2</v>
      </c>
      <c r="C170" s="326">
        <v>9</v>
      </c>
      <c r="D170" s="326">
        <v>2</v>
      </c>
      <c r="E170" s="326" t="s">
        <v>619</v>
      </c>
      <c r="F170" s="337" t="s">
        <v>739</v>
      </c>
      <c r="G170" s="27"/>
      <c r="H170" s="27"/>
      <c r="I170" s="27"/>
      <c r="J170" s="27"/>
      <c r="K170" s="27"/>
      <c r="L170" s="27"/>
      <c r="M170" s="27"/>
      <c r="N170" s="343">
        <f>SUBTOTAL(9,G170:M170)</f>
        <v>0</v>
      </c>
      <c r="O170" s="346">
        <f t="shared" si="73"/>
        <v>0</v>
      </c>
    </row>
    <row r="171" spans="1:15" ht="12.75" x14ac:dyDescent="0.2">
      <c r="A171" s="315">
        <v>2</v>
      </c>
      <c r="B171" s="316">
        <v>3</v>
      </c>
      <c r="C171" s="317"/>
      <c r="D171" s="317"/>
      <c r="E171" s="317"/>
      <c r="F171" s="318" t="s">
        <v>740</v>
      </c>
      <c r="G171" s="33">
        <f>+G172+G180+G189+G198+G201+G210+G225+G238</f>
        <v>2034445.45</v>
      </c>
      <c r="H171" s="33">
        <f t="shared" ref="H171:O171" si="74">+H172+H180+H189+H198+H201+H210+H225+H238</f>
        <v>5320347.6500000004</v>
      </c>
      <c r="I171" s="33">
        <f t="shared" si="74"/>
        <v>7776348.1500000004</v>
      </c>
      <c r="J171" s="33">
        <f t="shared" si="74"/>
        <v>7727566.8600000013</v>
      </c>
      <c r="K171" s="33">
        <f t="shared" si="74"/>
        <v>987443.04</v>
      </c>
      <c r="L171" s="33">
        <f t="shared" si="74"/>
        <v>34440</v>
      </c>
      <c r="M171" s="33">
        <f t="shared" si="74"/>
        <v>3587634.89</v>
      </c>
      <c r="N171" s="33">
        <f t="shared" si="74"/>
        <v>27468226.039999999</v>
      </c>
      <c r="O171" s="33">
        <f t="shared" si="74"/>
        <v>9.280235982228799</v>
      </c>
    </row>
    <row r="172" spans="1:15" ht="12.75" x14ac:dyDescent="0.2">
      <c r="A172" s="319">
        <v>2</v>
      </c>
      <c r="B172" s="320">
        <v>3</v>
      </c>
      <c r="C172" s="320">
        <v>1</v>
      </c>
      <c r="D172" s="320"/>
      <c r="E172" s="320"/>
      <c r="F172" s="321" t="s">
        <v>741</v>
      </c>
      <c r="G172" s="32">
        <f>+G173+G175+G178</f>
        <v>362889.2</v>
      </c>
      <c r="H172" s="32">
        <f t="shared" ref="H172:O172" si="75">+H173+H175+H178</f>
        <v>725779.25</v>
      </c>
      <c r="I172" s="32">
        <f t="shared" si="75"/>
        <v>3628891.1</v>
      </c>
      <c r="J172" s="32">
        <f t="shared" si="75"/>
        <v>362889.2</v>
      </c>
      <c r="K172" s="32">
        <f t="shared" si="75"/>
        <v>362889.2</v>
      </c>
      <c r="L172" s="32">
        <f t="shared" si="75"/>
        <v>0</v>
      </c>
      <c r="M172" s="32">
        <f t="shared" si="75"/>
        <v>1814445.19</v>
      </c>
      <c r="N172" s="32">
        <f t="shared" si="75"/>
        <v>7257783.1400000006</v>
      </c>
      <c r="O172" s="32">
        <f t="shared" si="75"/>
        <v>1.5461680743899278</v>
      </c>
    </row>
    <row r="173" spans="1:15" ht="12.75" x14ac:dyDescent="0.2">
      <c r="A173" s="322">
        <v>2</v>
      </c>
      <c r="B173" s="323">
        <v>3</v>
      </c>
      <c r="C173" s="323">
        <v>1</v>
      </c>
      <c r="D173" s="323">
        <v>1</v>
      </c>
      <c r="E173" s="323"/>
      <c r="F173" s="331" t="s">
        <v>742</v>
      </c>
      <c r="G173" s="30">
        <f>+G174</f>
        <v>362889.2</v>
      </c>
      <c r="H173" s="30">
        <f t="shared" ref="H173:O173" si="76">+H174</f>
        <v>725779.25</v>
      </c>
      <c r="I173" s="30">
        <f t="shared" si="76"/>
        <v>3628891.1</v>
      </c>
      <c r="J173" s="30">
        <f t="shared" si="76"/>
        <v>362889.2</v>
      </c>
      <c r="K173" s="30">
        <f t="shared" si="76"/>
        <v>362889.2</v>
      </c>
      <c r="L173" s="30">
        <f t="shared" si="76"/>
        <v>0</v>
      </c>
      <c r="M173" s="30">
        <f t="shared" si="76"/>
        <v>1814445.19</v>
      </c>
      <c r="N173" s="30">
        <f t="shared" si="76"/>
        <v>7257783.1400000006</v>
      </c>
      <c r="O173" s="53">
        <f t="shared" si="76"/>
        <v>1.5461680743899278</v>
      </c>
    </row>
    <row r="174" spans="1:15" ht="12.75" x14ac:dyDescent="0.2">
      <c r="A174" s="332">
        <v>2</v>
      </c>
      <c r="B174" s="326">
        <v>3</v>
      </c>
      <c r="C174" s="326">
        <v>1</v>
      </c>
      <c r="D174" s="326">
        <v>1</v>
      </c>
      <c r="E174" s="326" t="s">
        <v>610</v>
      </c>
      <c r="F174" s="327" t="s">
        <v>742</v>
      </c>
      <c r="G174" s="27">
        <v>362889.2</v>
      </c>
      <c r="H174" s="27">
        <v>725779.25</v>
      </c>
      <c r="I174" s="27">
        <v>3628891.1</v>
      </c>
      <c r="J174" s="27">
        <v>362889.2</v>
      </c>
      <c r="K174" s="27">
        <v>362889.2</v>
      </c>
      <c r="L174" s="27"/>
      <c r="M174" s="27">
        <v>1814445.19</v>
      </c>
      <c r="N174" s="344">
        <f>SUBTOTAL(9,G174:M174)</f>
        <v>7257783.1400000006</v>
      </c>
      <c r="O174" s="345">
        <f t="shared" si="73"/>
        <v>1.5461680743899278</v>
      </c>
    </row>
    <row r="175" spans="1:15" ht="12.75" x14ac:dyDescent="0.2">
      <c r="A175" s="322">
        <v>2</v>
      </c>
      <c r="B175" s="323">
        <v>3</v>
      </c>
      <c r="C175" s="323">
        <v>1</v>
      </c>
      <c r="D175" s="323">
        <v>3</v>
      </c>
      <c r="E175" s="323"/>
      <c r="F175" s="331" t="s">
        <v>743</v>
      </c>
      <c r="G175" s="30">
        <f>SUM(G176:G177)</f>
        <v>0</v>
      </c>
      <c r="H175" s="30">
        <f t="shared" ref="H175:O175" si="77">SUM(H176:H177)</f>
        <v>0</v>
      </c>
      <c r="I175" s="30">
        <f t="shared" si="77"/>
        <v>0</v>
      </c>
      <c r="J175" s="30">
        <f t="shared" si="77"/>
        <v>0</v>
      </c>
      <c r="K175" s="30">
        <f t="shared" si="77"/>
        <v>0</v>
      </c>
      <c r="L175" s="30">
        <f t="shared" si="77"/>
        <v>0</v>
      </c>
      <c r="M175" s="30">
        <f t="shared" si="77"/>
        <v>0</v>
      </c>
      <c r="N175" s="30">
        <f t="shared" si="77"/>
        <v>0</v>
      </c>
      <c r="O175" s="53">
        <f t="shared" si="77"/>
        <v>0</v>
      </c>
    </row>
    <row r="176" spans="1:15" ht="12.75" x14ac:dyDescent="0.2">
      <c r="A176" s="332">
        <v>2</v>
      </c>
      <c r="B176" s="326">
        <v>3</v>
      </c>
      <c r="C176" s="326">
        <v>1</v>
      </c>
      <c r="D176" s="326">
        <v>3</v>
      </c>
      <c r="E176" s="326" t="s">
        <v>612</v>
      </c>
      <c r="F176" s="327" t="s">
        <v>744</v>
      </c>
      <c r="G176" s="27"/>
      <c r="H176" s="27"/>
      <c r="I176" s="27"/>
      <c r="J176" s="27"/>
      <c r="K176" s="27"/>
      <c r="L176" s="27"/>
      <c r="M176" s="27"/>
      <c r="N176" s="343">
        <f>SUBTOTAL(9,G176:M176)</f>
        <v>0</v>
      </c>
      <c r="O176" s="346">
        <f>IFERROR(N176/$N$18*100,"0.00")</f>
        <v>0</v>
      </c>
    </row>
    <row r="177" spans="1:15" ht="12.75" x14ac:dyDescent="0.2">
      <c r="A177" s="332">
        <v>2</v>
      </c>
      <c r="B177" s="326">
        <v>3</v>
      </c>
      <c r="C177" s="326">
        <v>1</v>
      </c>
      <c r="D177" s="326">
        <v>3</v>
      </c>
      <c r="E177" s="326" t="s">
        <v>619</v>
      </c>
      <c r="F177" s="327" t="s">
        <v>745</v>
      </c>
      <c r="G177" s="27"/>
      <c r="H177" s="27"/>
      <c r="I177" s="27"/>
      <c r="J177" s="27"/>
      <c r="K177" s="27"/>
      <c r="L177" s="27"/>
      <c r="M177" s="27"/>
      <c r="N177" s="343">
        <f>SUBTOTAL(9,G177:M177)</f>
        <v>0</v>
      </c>
      <c r="O177" s="346">
        <f>IFERROR(N177/$N$18*100,"0.00")</f>
        <v>0</v>
      </c>
    </row>
    <row r="178" spans="1:15" ht="12.75" x14ac:dyDescent="0.2">
      <c r="A178" s="322">
        <v>2</v>
      </c>
      <c r="B178" s="323">
        <v>3</v>
      </c>
      <c r="C178" s="323">
        <v>1</v>
      </c>
      <c r="D178" s="323">
        <v>4</v>
      </c>
      <c r="E178" s="323"/>
      <c r="F178" s="331" t="s">
        <v>746</v>
      </c>
      <c r="G178" s="29">
        <f>+G179</f>
        <v>0</v>
      </c>
      <c r="H178" s="29">
        <f t="shared" ref="H178:O178" si="78">+H179</f>
        <v>0</v>
      </c>
      <c r="I178" s="29">
        <f t="shared" si="78"/>
        <v>0</v>
      </c>
      <c r="J178" s="29">
        <f t="shared" si="78"/>
        <v>0</v>
      </c>
      <c r="K178" s="29">
        <f t="shared" si="78"/>
        <v>0</v>
      </c>
      <c r="L178" s="29">
        <f t="shared" si="78"/>
        <v>0</v>
      </c>
      <c r="M178" s="29">
        <f t="shared" si="78"/>
        <v>0</v>
      </c>
      <c r="N178" s="29">
        <f t="shared" si="78"/>
        <v>0</v>
      </c>
      <c r="O178" s="53">
        <f t="shared" si="78"/>
        <v>0</v>
      </c>
    </row>
    <row r="179" spans="1:15" ht="12.75" x14ac:dyDescent="0.2">
      <c r="A179" s="332">
        <v>2</v>
      </c>
      <c r="B179" s="326">
        <v>3</v>
      </c>
      <c r="C179" s="326">
        <v>1</v>
      </c>
      <c r="D179" s="326">
        <v>4</v>
      </c>
      <c r="E179" s="326" t="s">
        <v>610</v>
      </c>
      <c r="F179" s="327" t="s">
        <v>746</v>
      </c>
      <c r="G179" s="27"/>
      <c r="H179" s="27"/>
      <c r="I179" s="27"/>
      <c r="J179" s="27"/>
      <c r="K179" s="27"/>
      <c r="L179" s="27"/>
      <c r="M179" s="27"/>
      <c r="N179" s="343">
        <f>SUBTOTAL(9,G179:M179)</f>
        <v>0</v>
      </c>
      <c r="O179" s="346">
        <f>IFERROR(N179/$N$18*100,"0.00")</f>
        <v>0</v>
      </c>
    </row>
    <row r="180" spans="1:15" ht="12.75" x14ac:dyDescent="0.2">
      <c r="A180" s="319">
        <v>2</v>
      </c>
      <c r="B180" s="320">
        <v>3</v>
      </c>
      <c r="C180" s="320">
        <v>2</v>
      </c>
      <c r="D180" s="320"/>
      <c r="E180" s="320"/>
      <c r="F180" s="321" t="s">
        <v>747</v>
      </c>
      <c r="G180" s="32">
        <f>+G181+G183+G185+G187</f>
        <v>0</v>
      </c>
      <c r="H180" s="32">
        <f t="shared" ref="H180:O180" si="79">+H181+H183+H185+H187</f>
        <v>0</v>
      </c>
      <c r="I180" s="32">
        <f t="shared" si="79"/>
        <v>0</v>
      </c>
      <c r="J180" s="32">
        <f t="shared" si="79"/>
        <v>0</v>
      </c>
      <c r="K180" s="32">
        <f t="shared" si="79"/>
        <v>0</v>
      </c>
      <c r="L180" s="32">
        <f t="shared" si="79"/>
        <v>0</v>
      </c>
      <c r="M180" s="32">
        <f t="shared" si="79"/>
        <v>832743.8</v>
      </c>
      <c r="N180" s="32">
        <f t="shared" si="79"/>
        <v>832743.8</v>
      </c>
      <c r="O180" s="32">
        <f t="shared" si="79"/>
        <v>0.17740429176093447</v>
      </c>
    </row>
    <row r="181" spans="1:15" ht="12.75" x14ac:dyDescent="0.2">
      <c r="A181" s="322">
        <v>2</v>
      </c>
      <c r="B181" s="323">
        <v>3</v>
      </c>
      <c r="C181" s="323">
        <v>2</v>
      </c>
      <c r="D181" s="323">
        <v>1</v>
      </c>
      <c r="E181" s="323"/>
      <c r="F181" s="331" t="s">
        <v>748</v>
      </c>
      <c r="G181" s="29">
        <f>+G182</f>
        <v>0</v>
      </c>
      <c r="H181" s="29">
        <f t="shared" ref="H181:O181" si="80">H182</f>
        <v>0</v>
      </c>
      <c r="I181" s="29">
        <f t="shared" si="80"/>
        <v>0</v>
      </c>
      <c r="J181" s="29">
        <f t="shared" si="80"/>
        <v>0</v>
      </c>
      <c r="K181" s="29">
        <f t="shared" si="80"/>
        <v>0</v>
      </c>
      <c r="L181" s="29">
        <f t="shared" si="80"/>
        <v>0</v>
      </c>
      <c r="M181" s="29">
        <f t="shared" si="80"/>
        <v>0</v>
      </c>
      <c r="N181" s="29">
        <f t="shared" si="80"/>
        <v>0</v>
      </c>
      <c r="O181" s="53">
        <f t="shared" si="80"/>
        <v>0</v>
      </c>
    </row>
    <row r="182" spans="1:15" ht="12.75" x14ac:dyDescent="0.2">
      <c r="A182" s="332">
        <v>2</v>
      </c>
      <c r="B182" s="326">
        <v>3</v>
      </c>
      <c r="C182" s="326">
        <v>2</v>
      </c>
      <c r="D182" s="326">
        <v>1</v>
      </c>
      <c r="E182" s="326" t="s">
        <v>610</v>
      </c>
      <c r="F182" s="327" t="s">
        <v>748</v>
      </c>
      <c r="G182" s="27"/>
      <c r="H182" s="27"/>
      <c r="I182" s="27"/>
      <c r="J182" s="27"/>
      <c r="K182" s="27"/>
      <c r="L182" s="27"/>
      <c r="M182" s="27"/>
      <c r="N182" s="343">
        <f>SUBTOTAL(9,G182:M182)</f>
        <v>0</v>
      </c>
      <c r="O182" s="346">
        <f>IFERROR(N182/$N$18*100,"0.00")</f>
        <v>0</v>
      </c>
    </row>
    <row r="183" spans="1:15" ht="12.75" x14ac:dyDescent="0.2">
      <c r="A183" s="322">
        <v>2</v>
      </c>
      <c r="B183" s="323">
        <v>3</v>
      </c>
      <c r="C183" s="323">
        <v>2</v>
      </c>
      <c r="D183" s="323">
        <v>2</v>
      </c>
      <c r="E183" s="323"/>
      <c r="F183" s="331" t="s">
        <v>749</v>
      </c>
      <c r="G183" s="29">
        <f t="shared" ref="G183:O183" si="81">+G184</f>
        <v>0</v>
      </c>
      <c r="H183" s="29">
        <f t="shared" si="81"/>
        <v>0</v>
      </c>
      <c r="I183" s="29">
        <f t="shared" si="81"/>
        <v>0</v>
      </c>
      <c r="J183" s="29">
        <f t="shared" si="81"/>
        <v>0</v>
      </c>
      <c r="K183" s="29">
        <f t="shared" si="81"/>
        <v>0</v>
      </c>
      <c r="L183" s="29">
        <f t="shared" si="81"/>
        <v>0</v>
      </c>
      <c r="M183" s="29">
        <f t="shared" si="81"/>
        <v>832743.8</v>
      </c>
      <c r="N183" s="29">
        <f t="shared" si="81"/>
        <v>832743.8</v>
      </c>
      <c r="O183" s="53">
        <f t="shared" si="81"/>
        <v>0.17740429176093447</v>
      </c>
    </row>
    <row r="184" spans="1:15" ht="12.75" x14ac:dyDescent="0.2">
      <c r="A184" s="332">
        <v>2</v>
      </c>
      <c r="B184" s="326">
        <v>3</v>
      </c>
      <c r="C184" s="326">
        <v>2</v>
      </c>
      <c r="D184" s="326">
        <v>2</v>
      </c>
      <c r="E184" s="326" t="s">
        <v>610</v>
      </c>
      <c r="F184" s="327" t="s">
        <v>749</v>
      </c>
      <c r="G184" s="27"/>
      <c r="H184" s="27"/>
      <c r="I184" s="27"/>
      <c r="J184" s="27"/>
      <c r="K184" s="27"/>
      <c r="L184" s="27"/>
      <c r="M184" s="27">
        <v>832743.8</v>
      </c>
      <c r="N184" s="343">
        <f>SUBTOTAL(9,G184:M184)</f>
        <v>832743.8</v>
      </c>
      <c r="O184" s="345">
        <f>IFERROR(N184/$N$18*100,"0.00")</f>
        <v>0.17740429176093447</v>
      </c>
    </row>
    <row r="185" spans="1:15" ht="12.75" x14ac:dyDescent="0.2">
      <c r="A185" s="322">
        <v>2</v>
      </c>
      <c r="B185" s="323">
        <v>3</v>
      </c>
      <c r="C185" s="323">
        <v>2</v>
      </c>
      <c r="D185" s="323">
        <v>3</v>
      </c>
      <c r="E185" s="323"/>
      <c r="F185" s="331" t="s">
        <v>750</v>
      </c>
      <c r="G185" s="29">
        <f>+G186</f>
        <v>0</v>
      </c>
      <c r="H185" s="29">
        <f t="shared" ref="H185:M185" si="82">+H186</f>
        <v>0</v>
      </c>
      <c r="I185" s="29">
        <f t="shared" si="82"/>
        <v>0</v>
      </c>
      <c r="J185" s="29">
        <f t="shared" si="82"/>
        <v>0</v>
      </c>
      <c r="K185" s="29">
        <f t="shared" si="82"/>
        <v>0</v>
      </c>
      <c r="L185" s="29">
        <f t="shared" si="82"/>
        <v>0</v>
      </c>
      <c r="M185" s="29">
        <f t="shared" si="82"/>
        <v>0</v>
      </c>
      <c r="N185" s="29">
        <f>+N186</f>
        <v>0</v>
      </c>
      <c r="O185" s="53">
        <f>+O186</f>
        <v>0</v>
      </c>
    </row>
    <row r="186" spans="1:15" ht="12.75" x14ac:dyDescent="0.2">
      <c r="A186" s="332">
        <v>2</v>
      </c>
      <c r="B186" s="326">
        <v>3</v>
      </c>
      <c r="C186" s="326">
        <v>2</v>
      </c>
      <c r="D186" s="326">
        <v>3</v>
      </c>
      <c r="E186" s="326" t="s">
        <v>610</v>
      </c>
      <c r="F186" s="327" t="s">
        <v>750</v>
      </c>
      <c r="G186" s="27"/>
      <c r="H186" s="27"/>
      <c r="I186" s="27"/>
      <c r="J186" s="27"/>
      <c r="K186" s="27"/>
      <c r="L186" s="27"/>
      <c r="M186" s="27"/>
      <c r="N186" s="343">
        <f>SUBTOTAL(9,G186:M186)</f>
        <v>0</v>
      </c>
      <c r="O186" s="346">
        <f>IFERROR(N186/$N$18*100,"0.00")</f>
        <v>0</v>
      </c>
    </row>
    <row r="187" spans="1:15" ht="12.75" x14ac:dyDescent="0.2">
      <c r="A187" s="322">
        <v>2</v>
      </c>
      <c r="B187" s="323">
        <v>3</v>
      </c>
      <c r="C187" s="323">
        <v>2</v>
      </c>
      <c r="D187" s="323">
        <v>4</v>
      </c>
      <c r="E187" s="323"/>
      <c r="F187" s="331" t="s">
        <v>751</v>
      </c>
      <c r="G187" s="29">
        <f>+G188</f>
        <v>0</v>
      </c>
      <c r="H187" s="29">
        <f t="shared" ref="H187:O187" si="83">+H188</f>
        <v>0</v>
      </c>
      <c r="I187" s="29">
        <f t="shared" si="83"/>
        <v>0</v>
      </c>
      <c r="J187" s="29">
        <f t="shared" si="83"/>
        <v>0</v>
      </c>
      <c r="K187" s="29">
        <f t="shared" si="83"/>
        <v>0</v>
      </c>
      <c r="L187" s="29">
        <f t="shared" si="83"/>
        <v>0</v>
      </c>
      <c r="M187" s="29">
        <f t="shared" si="83"/>
        <v>0</v>
      </c>
      <c r="N187" s="29">
        <f t="shared" si="83"/>
        <v>0</v>
      </c>
      <c r="O187" s="53">
        <f t="shared" si="83"/>
        <v>0</v>
      </c>
    </row>
    <row r="188" spans="1:15" ht="12.75" x14ac:dyDescent="0.2">
      <c r="A188" s="332">
        <v>2</v>
      </c>
      <c r="B188" s="326">
        <v>3</v>
      </c>
      <c r="C188" s="326">
        <v>2</v>
      </c>
      <c r="D188" s="326">
        <v>4</v>
      </c>
      <c r="E188" s="326" t="s">
        <v>610</v>
      </c>
      <c r="F188" s="327" t="s">
        <v>751</v>
      </c>
      <c r="G188" s="27"/>
      <c r="H188" s="27"/>
      <c r="I188" s="27"/>
      <c r="J188" s="27"/>
      <c r="K188" s="27"/>
      <c r="L188" s="27"/>
      <c r="M188" s="27"/>
      <c r="N188" s="343">
        <f>SUBTOTAL(9,G188:M188)</f>
        <v>0</v>
      </c>
      <c r="O188" s="345">
        <f>IFERROR(N188/$N$18*100,"0.00")</f>
        <v>0</v>
      </c>
    </row>
    <row r="189" spans="1:15" ht="12.75" x14ac:dyDescent="0.2">
      <c r="A189" s="319">
        <v>2</v>
      </c>
      <c r="B189" s="320">
        <v>3</v>
      </c>
      <c r="C189" s="320">
        <v>3</v>
      </c>
      <c r="D189" s="320"/>
      <c r="E189" s="320"/>
      <c r="F189" s="321" t="s">
        <v>752</v>
      </c>
      <c r="G189" s="32">
        <f>+G190+G192+G194+G196</f>
        <v>0</v>
      </c>
      <c r="H189" s="32">
        <f t="shared" ref="H189:O189" si="84">+H190+H192+H194+H196</f>
        <v>0</v>
      </c>
      <c r="I189" s="32">
        <f t="shared" si="84"/>
        <v>0</v>
      </c>
      <c r="J189" s="32">
        <f t="shared" si="84"/>
        <v>0</v>
      </c>
      <c r="K189" s="32">
        <f t="shared" si="84"/>
        <v>0</v>
      </c>
      <c r="L189" s="32">
        <f t="shared" si="84"/>
        <v>0</v>
      </c>
      <c r="M189" s="32">
        <f t="shared" si="84"/>
        <v>0</v>
      </c>
      <c r="N189" s="32">
        <f>+N190+N192+N194+N196</f>
        <v>0</v>
      </c>
      <c r="O189" s="32">
        <f t="shared" si="84"/>
        <v>3.4285188195727008</v>
      </c>
    </row>
    <row r="190" spans="1:15" ht="12.75" x14ac:dyDescent="0.2">
      <c r="A190" s="322">
        <v>2</v>
      </c>
      <c r="B190" s="323">
        <v>3</v>
      </c>
      <c r="C190" s="323">
        <v>3</v>
      </c>
      <c r="D190" s="323">
        <v>1</v>
      </c>
      <c r="E190" s="323"/>
      <c r="F190" s="331" t="s">
        <v>753</v>
      </c>
      <c r="G190" s="30">
        <f>G191</f>
        <v>0</v>
      </c>
      <c r="H190" s="29">
        <f t="shared" ref="H190:O190" si="85">H191</f>
        <v>0</v>
      </c>
      <c r="I190" s="29">
        <f t="shared" si="85"/>
        <v>0</v>
      </c>
      <c r="J190" s="29">
        <f t="shared" si="85"/>
        <v>0</v>
      </c>
      <c r="K190" s="29">
        <f t="shared" si="85"/>
        <v>0</v>
      </c>
      <c r="L190" s="29">
        <f t="shared" si="85"/>
        <v>0</v>
      </c>
      <c r="M190" s="29">
        <f t="shared" si="85"/>
        <v>0</v>
      </c>
      <c r="N190" s="29">
        <f t="shared" si="85"/>
        <v>0</v>
      </c>
      <c r="O190" s="53">
        <f t="shared" si="85"/>
        <v>0</v>
      </c>
    </row>
    <row r="191" spans="1:15" ht="12.75" x14ac:dyDescent="0.2">
      <c r="A191" s="332">
        <v>2</v>
      </c>
      <c r="B191" s="326">
        <v>3</v>
      </c>
      <c r="C191" s="326">
        <v>3</v>
      </c>
      <c r="D191" s="326">
        <v>1</v>
      </c>
      <c r="E191" s="326" t="s">
        <v>610</v>
      </c>
      <c r="F191" s="327" t="s">
        <v>753</v>
      </c>
      <c r="G191" s="27"/>
      <c r="H191" s="27"/>
      <c r="I191" s="27"/>
      <c r="J191" s="27"/>
      <c r="K191" s="27"/>
      <c r="L191" s="27"/>
      <c r="M191" s="27"/>
      <c r="N191" s="343">
        <f>SUBTOTAL(9,G191:M191)</f>
        <v>0</v>
      </c>
      <c r="O191" s="346">
        <f>IFERROR(N191/$N$18*100,"0.00")</f>
        <v>0</v>
      </c>
    </row>
    <row r="192" spans="1:15" ht="12.75" x14ac:dyDescent="0.2">
      <c r="A192" s="322">
        <v>2</v>
      </c>
      <c r="B192" s="323">
        <v>3</v>
      </c>
      <c r="C192" s="323">
        <v>3</v>
      </c>
      <c r="D192" s="323">
        <v>2</v>
      </c>
      <c r="E192" s="323"/>
      <c r="F192" s="331" t="s">
        <v>754</v>
      </c>
      <c r="G192" s="29">
        <f>+G193</f>
        <v>0</v>
      </c>
      <c r="H192" s="29">
        <f t="shared" ref="H192:N192" si="86">+H193</f>
        <v>0</v>
      </c>
      <c r="I192" s="29">
        <f t="shared" si="86"/>
        <v>0</v>
      </c>
      <c r="J192" s="29">
        <f t="shared" si="86"/>
        <v>0</v>
      </c>
      <c r="K192" s="29">
        <f t="shared" si="86"/>
        <v>0</v>
      </c>
      <c r="L192" s="29">
        <f t="shared" si="86"/>
        <v>0</v>
      </c>
      <c r="M192" s="29">
        <f t="shared" si="86"/>
        <v>0</v>
      </c>
      <c r="N192" s="29">
        <f t="shared" si="86"/>
        <v>0</v>
      </c>
      <c r="O192" s="53">
        <f>SUM(O193:O195)</f>
        <v>0</v>
      </c>
    </row>
    <row r="193" spans="1:15" ht="12.75" x14ac:dyDescent="0.2">
      <c r="A193" s="332">
        <v>2</v>
      </c>
      <c r="B193" s="326">
        <v>3</v>
      </c>
      <c r="C193" s="326">
        <v>3</v>
      </c>
      <c r="D193" s="326">
        <v>2</v>
      </c>
      <c r="E193" s="326" t="s">
        <v>610</v>
      </c>
      <c r="F193" s="327" t="s">
        <v>754</v>
      </c>
      <c r="G193" s="27"/>
      <c r="H193" s="27"/>
      <c r="I193" s="27"/>
      <c r="J193" s="27"/>
      <c r="K193" s="27"/>
      <c r="L193" s="27"/>
      <c r="M193" s="27"/>
      <c r="N193" s="343">
        <f>SUBTOTAL(9,G193:M193)</f>
        <v>0</v>
      </c>
      <c r="O193" s="346">
        <f>IFERROR(N193/$N$18*100,"0.00")</f>
        <v>0</v>
      </c>
    </row>
    <row r="194" spans="1:15" ht="12.75" x14ac:dyDescent="0.2">
      <c r="A194" s="322">
        <v>2</v>
      </c>
      <c r="B194" s="323">
        <v>3</v>
      </c>
      <c r="C194" s="323">
        <v>3</v>
      </c>
      <c r="D194" s="323">
        <v>3</v>
      </c>
      <c r="E194" s="323"/>
      <c r="F194" s="331" t="s">
        <v>755</v>
      </c>
      <c r="G194" s="29">
        <f>+G195</f>
        <v>0</v>
      </c>
      <c r="H194" s="29">
        <f t="shared" ref="H194:O194" si="87">+H195</f>
        <v>0</v>
      </c>
      <c r="I194" s="29">
        <f t="shared" si="87"/>
        <v>0</v>
      </c>
      <c r="J194" s="29">
        <f t="shared" si="87"/>
        <v>0</v>
      </c>
      <c r="K194" s="29">
        <f t="shared" si="87"/>
        <v>0</v>
      </c>
      <c r="L194" s="29">
        <f t="shared" si="87"/>
        <v>0</v>
      </c>
      <c r="M194" s="29">
        <f t="shared" si="87"/>
        <v>0</v>
      </c>
      <c r="N194" s="29">
        <f t="shared" si="87"/>
        <v>0</v>
      </c>
      <c r="O194" s="53">
        <f t="shared" si="87"/>
        <v>0</v>
      </c>
    </row>
    <row r="195" spans="1:15" ht="12.75" x14ac:dyDescent="0.2">
      <c r="A195" s="332">
        <v>2</v>
      </c>
      <c r="B195" s="326">
        <v>3</v>
      </c>
      <c r="C195" s="326">
        <v>3</v>
      </c>
      <c r="D195" s="326">
        <v>3</v>
      </c>
      <c r="E195" s="326" t="s">
        <v>610</v>
      </c>
      <c r="F195" s="327" t="s">
        <v>755</v>
      </c>
      <c r="G195" s="27"/>
      <c r="H195" s="27"/>
      <c r="I195" s="27"/>
      <c r="J195" s="27"/>
      <c r="K195" s="27"/>
      <c r="L195" s="27"/>
      <c r="M195" s="27"/>
      <c r="N195" s="343">
        <f>SUBTOTAL(9,G195:M195)</f>
        <v>0</v>
      </c>
      <c r="O195" s="346">
        <f>IFERROR(N195/$N$18*100,"0.00")</f>
        <v>0</v>
      </c>
    </row>
    <row r="196" spans="1:15" ht="12.75" x14ac:dyDescent="0.2">
      <c r="A196" s="322">
        <v>2</v>
      </c>
      <c r="B196" s="323">
        <v>3</v>
      </c>
      <c r="C196" s="323">
        <v>3</v>
      </c>
      <c r="D196" s="323">
        <v>4</v>
      </c>
      <c r="E196" s="323"/>
      <c r="F196" s="331" t="s">
        <v>756</v>
      </c>
      <c r="G196" s="29">
        <f>+G197</f>
        <v>0</v>
      </c>
      <c r="H196" s="29">
        <f t="shared" ref="H196:M196" si="88">+H197</f>
        <v>0</v>
      </c>
      <c r="I196" s="29">
        <f t="shared" si="88"/>
        <v>0</v>
      </c>
      <c r="J196" s="29">
        <f t="shared" si="88"/>
        <v>0</v>
      </c>
      <c r="K196" s="29">
        <f t="shared" si="88"/>
        <v>0</v>
      </c>
      <c r="L196" s="29">
        <f t="shared" si="88"/>
        <v>0</v>
      </c>
      <c r="M196" s="29">
        <f t="shared" si="88"/>
        <v>0</v>
      </c>
      <c r="N196" s="29">
        <f>+N197</f>
        <v>0</v>
      </c>
      <c r="O196" s="53">
        <f>SUM(O197:O200)</f>
        <v>3.4285188195727008</v>
      </c>
    </row>
    <row r="197" spans="1:15" ht="12.75" x14ac:dyDescent="0.2">
      <c r="A197" s="332">
        <v>2</v>
      </c>
      <c r="B197" s="326">
        <v>3</v>
      </c>
      <c r="C197" s="326">
        <v>3</v>
      </c>
      <c r="D197" s="326">
        <v>4</v>
      </c>
      <c r="E197" s="326" t="s">
        <v>610</v>
      </c>
      <c r="F197" s="327" t="s">
        <v>756</v>
      </c>
      <c r="G197" s="27"/>
      <c r="H197" s="27"/>
      <c r="I197" s="27"/>
      <c r="J197" s="27"/>
      <c r="K197" s="27"/>
      <c r="L197" s="27"/>
      <c r="M197" s="27"/>
      <c r="N197" s="343">
        <f>SUBTOTAL(9,G197:M197)</f>
        <v>0</v>
      </c>
      <c r="O197" s="346">
        <f>IFERROR(N197/$N$18*100,"0.00")</f>
        <v>0</v>
      </c>
    </row>
    <row r="198" spans="1:15" ht="12.75" x14ac:dyDescent="0.2">
      <c r="A198" s="319">
        <v>2</v>
      </c>
      <c r="B198" s="320">
        <v>3</v>
      </c>
      <c r="C198" s="320">
        <v>4</v>
      </c>
      <c r="D198" s="320"/>
      <c r="E198" s="320"/>
      <c r="F198" s="321" t="s">
        <v>757</v>
      </c>
      <c r="G198" s="32">
        <f>+G199</f>
        <v>0</v>
      </c>
      <c r="H198" s="32">
        <f t="shared" ref="H198:O199" si="89">+H199</f>
        <v>412657</v>
      </c>
      <c r="I198" s="32">
        <f t="shared" si="89"/>
        <v>825314</v>
      </c>
      <c r="J198" s="32">
        <f t="shared" si="89"/>
        <v>4126570</v>
      </c>
      <c r="K198" s="32">
        <f t="shared" si="89"/>
        <v>0</v>
      </c>
      <c r="L198" s="32">
        <f t="shared" si="89"/>
        <v>0</v>
      </c>
      <c r="M198" s="32">
        <f t="shared" si="89"/>
        <v>0</v>
      </c>
      <c r="N198" s="32">
        <f t="shared" si="89"/>
        <v>5364541</v>
      </c>
      <c r="O198" s="52">
        <f t="shared" si="89"/>
        <v>1.1428396065242337</v>
      </c>
    </row>
    <row r="199" spans="1:15" ht="12.75" x14ac:dyDescent="0.2">
      <c r="A199" s="322">
        <v>2</v>
      </c>
      <c r="B199" s="323">
        <v>3</v>
      </c>
      <c r="C199" s="323">
        <v>4</v>
      </c>
      <c r="D199" s="323">
        <v>1</v>
      </c>
      <c r="E199" s="323"/>
      <c r="F199" s="331" t="s">
        <v>758</v>
      </c>
      <c r="G199" s="29">
        <f>+G200</f>
        <v>0</v>
      </c>
      <c r="H199" s="29">
        <f t="shared" si="89"/>
        <v>412657</v>
      </c>
      <c r="I199" s="29">
        <f t="shared" si="89"/>
        <v>825314</v>
      </c>
      <c r="J199" s="29">
        <f t="shared" si="89"/>
        <v>4126570</v>
      </c>
      <c r="K199" s="29">
        <f t="shared" si="89"/>
        <v>0</v>
      </c>
      <c r="L199" s="29">
        <f t="shared" si="89"/>
        <v>0</v>
      </c>
      <c r="M199" s="29">
        <f t="shared" si="89"/>
        <v>0</v>
      </c>
      <c r="N199" s="29">
        <f>+N200</f>
        <v>5364541</v>
      </c>
      <c r="O199" s="53">
        <f t="shared" si="89"/>
        <v>1.1428396065242337</v>
      </c>
    </row>
    <row r="200" spans="1:15" ht="12.75" x14ac:dyDescent="0.2">
      <c r="A200" s="332">
        <v>2</v>
      </c>
      <c r="B200" s="326">
        <v>3</v>
      </c>
      <c r="C200" s="326">
        <v>4</v>
      </c>
      <c r="D200" s="326">
        <v>1</v>
      </c>
      <c r="E200" s="326" t="s">
        <v>610</v>
      </c>
      <c r="F200" s="327" t="s">
        <v>758</v>
      </c>
      <c r="G200" s="27"/>
      <c r="H200" s="27">
        <v>412657</v>
      </c>
      <c r="I200" s="27">
        <v>825314</v>
      </c>
      <c r="J200" s="27">
        <v>4126570</v>
      </c>
      <c r="K200" s="27"/>
      <c r="L200" s="27"/>
      <c r="M200" s="27"/>
      <c r="N200" s="343">
        <f>SUBTOTAL(9,G200:M200)</f>
        <v>5364541</v>
      </c>
      <c r="O200" s="346">
        <f>IFERROR(N200/$N$18*100,"0.00")</f>
        <v>1.1428396065242337</v>
      </c>
    </row>
    <row r="201" spans="1:15" ht="12.75" x14ac:dyDescent="0.2">
      <c r="A201" s="319">
        <v>2</v>
      </c>
      <c r="B201" s="320">
        <v>3</v>
      </c>
      <c r="C201" s="320">
        <v>5</v>
      </c>
      <c r="D201" s="320"/>
      <c r="E201" s="320"/>
      <c r="F201" s="321" t="s">
        <v>759</v>
      </c>
      <c r="G201" s="32">
        <f>+G202+G204+G206+G208</f>
        <v>0</v>
      </c>
      <c r="H201" s="32">
        <f t="shared" ref="H201:O201" si="90">+H202+H204+H206+H208</f>
        <v>0</v>
      </c>
      <c r="I201" s="32">
        <f t="shared" si="90"/>
        <v>0</v>
      </c>
      <c r="J201" s="32">
        <f t="shared" si="90"/>
        <v>0</v>
      </c>
      <c r="K201" s="32">
        <f t="shared" si="90"/>
        <v>0</v>
      </c>
      <c r="L201" s="32">
        <f t="shared" si="90"/>
        <v>0</v>
      </c>
      <c r="M201" s="32">
        <f t="shared" si="90"/>
        <v>0</v>
      </c>
      <c r="N201" s="32">
        <f t="shared" si="90"/>
        <v>0</v>
      </c>
      <c r="O201" s="32">
        <f t="shared" si="90"/>
        <v>0</v>
      </c>
    </row>
    <row r="202" spans="1:15" ht="12.75" x14ac:dyDescent="0.2">
      <c r="A202" s="322">
        <v>2</v>
      </c>
      <c r="B202" s="323">
        <v>3</v>
      </c>
      <c r="C202" s="323">
        <v>5</v>
      </c>
      <c r="D202" s="323">
        <v>2</v>
      </c>
      <c r="E202" s="323"/>
      <c r="F202" s="331" t="s">
        <v>760</v>
      </c>
      <c r="G202" s="29">
        <f>+G203</f>
        <v>0</v>
      </c>
      <c r="H202" s="29">
        <f t="shared" ref="H202:O202" si="91">+H203</f>
        <v>0</v>
      </c>
      <c r="I202" s="29">
        <f t="shared" si="91"/>
        <v>0</v>
      </c>
      <c r="J202" s="29">
        <f t="shared" si="91"/>
        <v>0</v>
      </c>
      <c r="K202" s="29">
        <f t="shared" si="91"/>
        <v>0</v>
      </c>
      <c r="L202" s="29">
        <f t="shared" si="91"/>
        <v>0</v>
      </c>
      <c r="M202" s="29">
        <f t="shared" si="91"/>
        <v>0</v>
      </c>
      <c r="N202" s="29">
        <f t="shared" si="91"/>
        <v>0</v>
      </c>
      <c r="O202" s="53">
        <f t="shared" si="91"/>
        <v>0</v>
      </c>
    </row>
    <row r="203" spans="1:15" ht="12.75" x14ac:dyDescent="0.2">
      <c r="A203" s="332">
        <v>2</v>
      </c>
      <c r="B203" s="326">
        <v>3</v>
      </c>
      <c r="C203" s="326">
        <v>5</v>
      </c>
      <c r="D203" s="326">
        <v>2</v>
      </c>
      <c r="E203" s="326" t="s">
        <v>610</v>
      </c>
      <c r="F203" s="327" t="s">
        <v>760</v>
      </c>
      <c r="G203" s="27"/>
      <c r="H203" s="27"/>
      <c r="I203" s="27"/>
      <c r="J203" s="27"/>
      <c r="K203" s="27"/>
      <c r="L203" s="27"/>
      <c r="M203" s="27"/>
      <c r="N203" s="343">
        <f>SUBTOTAL(9,G203:M203)</f>
        <v>0</v>
      </c>
      <c r="O203" s="346">
        <f>IFERROR(N203/$N$18*100,"0.00")</f>
        <v>0</v>
      </c>
    </row>
    <row r="204" spans="1:15" ht="12.75" x14ac:dyDescent="0.2">
      <c r="A204" s="322">
        <v>2</v>
      </c>
      <c r="B204" s="323">
        <v>3</v>
      </c>
      <c r="C204" s="323">
        <v>5</v>
      </c>
      <c r="D204" s="323">
        <v>3</v>
      </c>
      <c r="E204" s="323"/>
      <c r="F204" s="331" t="s">
        <v>761</v>
      </c>
      <c r="G204" s="29">
        <f>+G205</f>
        <v>0</v>
      </c>
      <c r="H204" s="29">
        <f t="shared" ref="H204:O204" si="92">+H205</f>
        <v>0</v>
      </c>
      <c r="I204" s="29">
        <f t="shared" si="92"/>
        <v>0</v>
      </c>
      <c r="J204" s="29">
        <f t="shared" si="92"/>
        <v>0</v>
      </c>
      <c r="K204" s="29">
        <f t="shared" si="92"/>
        <v>0</v>
      </c>
      <c r="L204" s="29">
        <f t="shared" si="92"/>
        <v>0</v>
      </c>
      <c r="M204" s="29">
        <f t="shared" si="92"/>
        <v>0</v>
      </c>
      <c r="N204" s="29">
        <f t="shared" si="92"/>
        <v>0</v>
      </c>
      <c r="O204" s="53">
        <f t="shared" si="92"/>
        <v>0</v>
      </c>
    </row>
    <row r="205" spans="1:15" ht="12.75" x14ac:dyDescent="0.2">
      <c r="A205" s="332">
        <v>2</v>
      </c>
      <c r="B205" s="326">
        <v>3</v>
      </c>
      <c r="C205" s="326">
        <v>5</v>
      </c>
      <c r="D205" s="326">
        <v>3</v>
      </c>
      <c r="E205" s="326" t="s">
        <v>610</v>
      </c>
      <c r="F205" s="327" t="s">
        <v>761</v>
      </c>
      <c r="G205" s="27"/>
      <c r="H205" s="27"/>
      <c r="I205" s="27"/>
      <c r="J205" s="27"/>
      <c r="K205" s="27"/>
      <c r="L205" s="27"/>
      <c r="M205" s="27"/>
      <c r="N205" s="343">
        <f>SUBTOTAL(9,G205:M205)</f>
        <v>0</v>
      </c>
      <c r="O205" s="346">
        <f>IFERROR(N205/$N$18*100,"0.00")</f>
        <v>0</v>
      </c>
    </row>
    <row r="206" spans="1:15" ht="12.75" x14ac:dyDescent="0.2">
      <c r="A206" s="322">
        <v>2</v>
      </c>
      <c r="B206" s="323">
        <v>3</v>
      </c>
      <c r="C206" s="323">
        <v>5</v>
      </c>
      <c r="D206" s="323">
        <v>4</v>
      </c>
      <c r="E206" s="323"/>
      <c r="F206" s="331" t="s">
        <v>762</v>
      </c>
      <c r="G206" s="29">
        <f>+G207</f>
        <v>0</v>
      </c>
      <c r="H206" s="29">
        <f t="shared" ref="H206:O206" si="93">+H207</f>
        <v>0</v>
      </c>
      <c r="I206" s="29">
        <f t="shared" si="93"/>
        <v>0</v>
      </c>
      <c r="J206" s="29">
        <f t="shared" si="93"/>
        <v>0</v>
      </c>
      <c r="K206" s="29">
        <f t="shared" si="93"/>
        <v>0</v>
      </c>
      <c r="L206" s="29">
        <f t="shared" si="93"/>
        <v>0</v>
      </c>
      <c r="M206" s="29">
        <f t="shared" si="93"/>
        <v>0</v>
      </c>
      <c r="N206" s="29">
        <f t="shared" si="93"/>
        <v>0</v>
      </c>
      <c r="O206" s="53">
        <f t="shared" si="93"/>
        <v>0</v>
      </c>
    </row>
    <row r="207" spans="1:15" ht="12.75" x14ac:dyDescent="0.2">
      <c r="A207" s="332">
        <v>2</v>
      </c>
      <c r="B207" s="326">
        <v>3</v>
      </c>
      <c r="C207" s="326">
        <v>5</v>
      </c>
      <c r="D207" s="326">
        <v>4</v>
      </c>
      <c r="E207" s="326" t="s">
        <v>610</v>
      </c>
      <c r="F207" s="327" t="s">
        <v>762</v>
      </c>
      <c r="G207" s="27"/>
      <c r="H207" s="27"/>
      <c r="I207" s="27"/>
      <c r="J207" s="27"/>
      <c r="K207" s="27"/>
      <c r="L207" s="27"/>
      <c r="M207" s="27"/>
      <c r="N207" s="343">
        <f>SUBTOTAL(9,G207:M207)</f>
        <v>0</v>
      </c>
      <c r="O207" s="346">
        <f>IFERROR(N207/$N$18*100,"0.00")</f>
        <v>0</v>
      </c>
    </row>
    <row r="208" spans="1:15" ht="12.75" x14ac:dyDescent="0.2">
      <c r="A208" s="322">
        <v>2</v>
      </c>
      <c r="B208" s="323">
        <v>3</v>
      </c>
      <c r="C208" s="323">
        <v>5</v>
      </c>
      <c r="D208" s="323">
        <v>5</v>
      </c>
      <c r="E208" s="323"/>
      <c r="F208" s="331" t="s">
        <v>763</v>
      </c>
      <c r="G208" s="29">
        <f>+G209</f>
        <v>0</v>
      </c>
      <c r="H208" s="29">
        <f t="shared" ref="H208:O208" si="94">+H209</f>
        <v>0</v>
      </c>
      <c r="I208" s="29">
        <f t="shared" si="94"/>
        <v>0</v>
      </c>
      <c r="J208" s="29">
        <f t="shared" si="94"/>
        <v>0</v>
      </c>
      <c r="K208" s="29">
        <f t="shared" si="94"/>
        <v>0</v>
      </c>
      <c r="L208" s="29">
        <f t="shared" si="94"/>
        <v>0</v>
      </c>
      <c r="M208" s="29">
        <f t="shared" si="94"/>
        <v>0</v>
      </c>
      <c r="N208" s="29">
        <f>+N209</f>
        <v>0</v>
      </c>
      <c r="O208" s="53">
        <f t="shared" si="94"/>
        <v>0</v>
      </c>
    </row>
    <row r="209" spans="1:15" ht="12.75" x14ac:dyDescent="0.2">
      <c r="A209" s="332">
        <v>2</v>
      </c>
      <c r="B209" s="326">
        <v>3</v>
      </c>
      <c r="C209" s="326">
        <v>5</v>
      </c>
      <c r="D209" s="326">
        <v>5</v>
      </c>
      <c r="E209" s="326" t="s">
        <v>610</v>
      </c>
      <c r="F209" s="327" t="s">
        <v>764</v>
      </c>
      <c r="G209" s="27"/>
      <c r="H209" s="27"/>
      <c r="I209" s="27"/>
      <c r="J209" s="27"/>
      <c r="K209" s="27"/>
      <c r="L209" s="27"/>
      <c r="M209" s="27"/>
      <c r="N209" s="343">
        <f>SUBTOTAL(9,G209:M209)</f>
        <v>0</v>
      </c>
      <c r="O209" s="346">
        <f>IFERROR(N209/$N$18*100,"0.00")</f>
        <v>0</v>
      </c>
    </row>
    <row r="210" spans="1:15" ht="12.75" x14ac:dyDescent="0.2">
      <c r="A210" s="319">
        <v>2</v>
      </c>
      <c r="B210" s="320">
        <v>3</v>
      </c>
      <c r="C210" s="320">
        <v>6</v>
      </c>
      <c r="D210" s="320"/>
      <c r="E210" s="320"/>
      <c r="F210" s="321" t="s">
        <v>765</v>
      </c>
      <c r="G210" s="32">
        <f>+G211+G215+G219+G223</f>
        <v>0</v>
      </c>
      <c r="H210" s="32">
        <f t="shared" ref="H210:O210" si="95">+H211+H215+H219+H223</f>
        <v>0</v>
      </c>
      <c r="I210" s="32">
        <f t="shared" si="95"/>
        <v>0</v>
      </c>
      <c r="J210" s="32">
        <f t="shared" si="95"/>
        <v>0</v>
      </c>
      <c r="K210" s="32">
        <f t="shared" si="95"/>
        <v>0</v>
      </c>
      <c r="L210" s="32">
        <f t="shared" si="95"/>
        <v>0</v>
      </c>
      <c r="M210" s="32">
        <f t="shared" si="95"/>
        <v>0</v>
      </c>
      <c r="N210" s="32">
        <f t="shared" si="95"/>
        <v>0</v>
      </c>
      <c r="O210" s="32">
        <f t="shared" si="95"/>
        <v>0</v>
      </c>
    </row>
    <row r="211" spans="1:15" ht="12.75" x14ac:dyDescent="0.2">
      <c r="A211" s="322">
        <v>2</v>
      </c>
      <c r="B211" s="323">
        <v>3</v>
      </c>
      <c r="C211" s="323">
        <v>6</v>
      </c>
      <c r="D211" s="323">
        <v>1</v>
      </c>
      <c r="E211" s="323"/>
      <c r="F211" s="331" t="s">
        <v>766</v>
      </c>
      <c r="G211" s="29">
        <f>+G212+G213+G214</f>
        <v>0</v>
      </c>
      <c r="H211" s="29">
        <f t="shared" ref="H211:O211" si="96">+H212+H213+H214</f>
        <v>0</v>
      </c>
      <c r="I211" s="29">
        <f t="shared" si="96"/>
        <v>0</v>
      </c>
      <c r="J211" s="29">
        <f t="shared" si="96"/>
        <v>0</v>
      </c>
      <c r="K211" s="29">
        <f t="shared" si="96"/>
        <v>0</v>
      </c>
      <c r="L211" s="29">
        <f t="shared" si="96"/>
        <v>0</v>
      </c>
      <c r="M211" s="29">
        <f t="shared" si="96"/>
        <v>0</v>
      </c>
      <c r="N211" s="29">
        <f t="shared" si="96"/>
        <v>0</v>
      </c>
      <c r="O211" s="53">
        <f t="shared" si="96"/>
        <v>0</v>
      </c>
    </row>
    <row r="212" spans="1:15" ht="12.75" x14ac:dyDescent="0.2">
      <c r="A212" s="332">
        <v>2</v>
      </c>
      <c r="B212" s="326">
        <v>3</v>
      </c>
      <c r="C212" s="326">
        <v>6</v>
      </c>
      <c r="D212" s="326">
        <v>1</v>
      </c>
      <c r="E212" s="326" t="s">
        <v>610</v>
      </c>
      <c r="F212" s="327" t="s">
        <v>767</v>
      </c>
      <c r="G212" s="27"/>
      <c r="H212" s="27"/>
      <c r="I212" s="27"/>
      <c r="J212" s="27"/>
      <c r="K212" s="27"/>
      <c r="L212" s="27"/>
      <c r="M212" s="27"/>
      <c r="N212" s="343">
        <f>SUBTOTAL(9,G212:M212)</f>
        <v>0</v>
      </c>
      <c r="O212" s="345">
        <f>IFERROR(N212/$N$18*100,"0.00")</f>
        <v>0</v>
      </c>
    </row>
    <row r="213" spans="1:15" ht="12.75" x14ac:dyDescent="0.2">
      <c r="A213" s="332">
        <v>2</v>
      </c>
      <c r="B213" s="326">
        <v>3</v>
      </c>
      <c r="C213" s="326">
        <v>6</v>
      </c>
      <c r="D213" s="326">
        <v>1</v>
      </c>
      <c r="E213" s="326" t="s">
        <v>612</v>
      </c>
      <c r="F213" s="327" t="s">
        <v>768</v>
      </c>
      <c r="G213" s="27"/>
      <c r="H213" s="27"/>
      <c r="I213" s="27"/>
      <c r="J213" s="27"/>
      <c r="K213" s="27"/>
      <c r="L213" s="27"/>
      <c r="M213" s="27"/>
      <c r="N213" s="343">
        <f>SUBTOTAL(9,G213:M213)</f>
        <v>0</v>
      </c>
      <c r="O213" s="345">
        <f>IFERROR(N213/$N$18*100,"0.00")</f>
        <v>0</v>
      </c>
    </row>
    <row r="214" spans="1:15" ht="12.75" x14ac:dyDescent="0.2">
      <c r="A214" s="332">
        <v>2</v>
      </c>
      <c r="B214" s="326">
        <v>3</v>
      </c>
      <c r="C214" s="326">
        <v>6</v>
      </c>
      <c r="D214" s="326">
        <v>1</v>
      </c>
      <c r="E214" s="326" t="s">
        <v>634</v>
      </c>
      <c r="F214" s="327" t="s">
        <v>769</v>
      </c>
      <c r="G214" s="27"/>
      <c r="H214" s="27"/>
      <c r="I214" s="27"/>
      <c r="J214" s="27"/>
      <c r="K214" s="27"/>
      <c r="L214" s="27"/>
      <c r="M214" s="27"/>
      <c r="N214" s="343">
        <f>SUBTOTAL(9,G214:M214)</f>
        <v>0</v>
      </c>
      <c r="O214" s="345">
        <f>IFERROR(N214/$N$18*100,"0.00")</f>
        <v>0</v>
      </c>
    </row>
    <row r="215" spans="1:15" ht="12.75" x14ac:dyDescent="0.2">
      <c r="A215" s="322">
        <v>2</v>
      </c>
      <c r="B215" s="323">
        <v>3</v>
      </c>
      <c r="C215" s="323">
        <v>6</v>
      </c>
      <c r="D215" s="323">
        <v>2</v>
      </c>
      <c r="E215" s="323"/>
      <c r="F215" s="331" t="s">
        <v>770</v>
      </c>
      <c r="G215" s="29">
        <f>+G216+G217+G218</f>
        <v>0</v>
      </c>
      <c r="H215" s="29">
        <f t="shared" ref="H215:O215" si="97">+H216+H217+H218</f>
        <v>0</v>
      </c>
      <c r="I215" s="29">
        <f t="shared" si="97"/>
        <v>0</v>
      </c>
      <c r="J215" s="29">
        <f t="shared" si="97"/>
        <v>0</v>
      </c>
      <c r="K215" s="29">
        <f t="shared" si="97"/>
        <v>0</v>
      </c>
      <c r="L215" s="29">
        <f t="shared" si="97"/>
        <v>0</v>
      </c>
      <c r="M215" s="29">
        <f t="shared" si="97"/>
        <v>0</v>
      </c>
      <c r="N215" s="29">
        <f t="shared" si="97"/>
        <v>0</v>
      </c>
      <c r="O215" s="53">
        <f t="shared" si="97"/>
        <v>0</v>
      </c>
    </row>
    <row r="216" spans="1:15" ht="12.75" x14ac:dyDescent="0.2">
      <c r="A216" s="332">
        <v>2</v>
      </c>
      <c r="B216" s="326">
        <v>3</v>
      </c>
      <c r="C216" s="326">
        <v>6</v>
      </c>
      <c r="D216" s="326">
        <v>2</v>
      </c>
      <c r="E216" s="326" t="s">
        <v>610</v>
      </c>
      <c r="F216" s="327" t="s">
        <v>771</v>
      </c>
      <c r="G216" s="27"/>
      <c r="H216" s="27"/>
      <c r="I216" s="27"/>
      <c r="J216" s="27"/>
      <c r="K216" s="27"/>
      <c r="L216" s="27"/>
      <c r="M216" s="27"/>
      <c r="N216" s="343">
        <f>SUBTOTAL(9,G216:M216)</f>
        <v>0</v>
      </c>
      <c r="O216" s="346">
        <f>IFERROR(N216/$N$18*100,"0.00")</f>
        <v>0</v>
      </c>
    </row>
    <row r="217" spans="1:15" ht="12.75" x14ac:dyDescent="0.2">
      <c r="A217" s="332">
        <v>2</v>
      </c>
      <c r="B217" s="326">
        <v>3</v>
      </c>
      <c r="C217" s="326">
        <v>6</v>
      </c>
      <c r="D217" s="326">
        <v>2</v>
      </c>
      <c r="E217" s="326" t="s">
        <v>612</v>
      </c>
      <c r="F217" s="327" t="s">
        <v>772</v>
      </c>
      <c r="G217" s="27"/>
      <c r="H217" s="27"/>
      <c r="I217" s="27"/>
      <c r="J217" s="27"/>
      <c r="K217" s="27"/>
      <c r="L217" s="27"/>
      <c r="M217" s="27"/>
      <c r="N217" s="343">
        <f>SUBTOTAL(9,G217:M217)</f>
        <v>0</v>
      </c>
      <c r="O217" s="346">
        <f>IFERROR(N217/$N$18*100,"0.00")</f>
        <v>0</v>
      </c>
    </row>
    <row r="218" spans="1:15" ht="12.75" x14ac:dyDescent="0.2">
      <c r="A218" s="332">
        <v>2</v>
      </c>
      <c r="B218" s="326">
        <v>3</v>
      </c>
      <c r="C218" s="326">
        <v>6</v>
      </c>
      <c r="D218" s="326">
        <v>2</v>
      </c>
      <c r="E218" s="326" t="s">
        <v>619</v>
      </c>
      <c r="F218" s="327" t="s">
        <v>773</v>
      </c>
      <c r="G218" s="27"/>
      <c r="H218" s="27"/>
      <c r="I218" s="27"/>
      <c r="J218" s="27"/>
      <c r="K218" s="27"/>
      <c r="L218" s="27"/>
      <c r="M218" s="27"/>
      <c r="N218" s="343">
        <f>SUBTOTAL(9,G218:M218)</f>
        <v>0</v>
      </c>
      <c r="O218" s="346">
        <f>IFERROR(N218/$N$18*100,"0.00")</f>
        <v>0</v>
      </c>
    </row>
    <row r="219" spans="1:15" ht="12.75" x14ac:dyDescent="0.2">
      <c r="A219" s="322">
        <v>2</v>
      </c>
      <c r="B219" s="323">
        <v>3</v>
      </c>
      <c r="C219" s="323">
        <v>6</v>
      </c>
      <c r="D219" s="323">
        <v>3</v>
      </c>
      <c r="E219" s="323"/>
      <c r="F219" s="331" t="s">
        <v>774</v>
      </c>
      <c r="G219" s="29">
        <f>+G220+G221+G222</f>
        <v>0</v>
      </c>
      <c r="H219" s="29">
        <f t="shared" ref="H219:O219" si="98">+H220+H221+H222</f>
        <v>0</v>
      </c>
      <c r="I219" s="29">
        <f t="shared" si="98"/>
        <v>0</v>
      </c>
      <c r="J219" s="29">
        <f t="shared" si="98"/>
        <v>0</v>
      </c>
      <c r="K219" s="29">
        <f t="shared" si="98"/>
        <v>0</v>
      </c>
      <c r="L219" s="29">
        <f t="shared" si="98"/>
        <v>0</v>
      </c>
      <c r="M219" s="29">
        <f t="shared" si="98"/>
        <v>0</v>
      </c>
      <c r="N219" s="29">
        <f t="shared" si="98"/>
        <v>0</v>
      </c>
      <c r="O219" s="53">
        <f t="shared" si="98"/>
        <v>0</v>
      </c>
    </row>
    <row r="220" spans="1:15" ht="12.75" x14ac:dyDescent="0.2">
      <c r="A220" s="332">
        <v>2</v>
      </c>
      <c r="B220" s="326">
        <v>3</v>
      </c>
      <c r="C220" s="326">
        <v>6</v>
      </c>
      <c r="D220" s="326">
        <v>3</v>
      </c>
      <c r="E220" s="326" t="s">
        <v>634</v>
      </c>
      <c r="F220" s="337" t="s">
        <v>775</v>
      </c>
      <c r="G220" s="27"/>
      <c r="H220" s="27"/>
      <c r="I220" s="27"/>
      <c r="J220" s="27"/>
      <c r="K220" s="27"/>
      <c r="L220" s="27"/>
      <c r="M220" s="27"/>
      <c r="N220" s="343">
        <f>SUBTOTAL(9,G220:M220)</f>
        <v>0</v>
      </c>
      <c r="O220" s="345">
        <f>IFERROR(N220/$N$18*100,"0.00")</f>
        <v>0</v>
      </c>
    </row>
    <row r="221" spans="1:15" ht="12.75" x14ac:dyDescent="0.2">
      <c r="A221" s="332">
        <v>2</v>
      </c>
      <c r="B221" s="326">
        <v>3</v>
      </c>
      <c r="C221" s="326">
        <v>6</v>
      </c>
      <c r="D221" s="326">
        <v>3</v>
      </c>
      <c r="E221" s="326" t="s">
        <v>614</v>
      </c>
      <c r="F221" s="327" t="s">
        <v>776</v>
      </c>
      <c r="G221" s="27"/>
      <c r="H221" s="27"/>
      <c r="I221" s="27"/>
      <c r="J221" s="27"/>
      <c r="K221" s="27"/>
      <c r="L221" s="27"/>
      <c r="M221" s="27"/>
      <c r="N221" s="343">
        <f>SUBTOTAL(9,G221:M221)</f>
        <v>0</v>
      </c>
      <c r="O221" s="345">
        <f>IFERROR(N221/$N$18*100,"0.00")</f>
        <v>0</v>
      </c>
    </row>
    <row r="222" spans="1:15" ht="12.75" x14ac:dyDescent="0.2">
      <c r="A222" s="332">
        <v>2</v>
      </c>
      <c r="B222" s="326">
        <v>3</v>
      </c>
      <c r="C222" s="326">
        <v>6</v>
      </c>
      <c r="D222" s="326">
        <v>3</v>
      </c>
      <c r="E222" s="326" t="s">
        <v>616</v>
      </c>
      <c r="F222" s="327" t="s">
        <v>777</v>
      </c>
      <c r="G222" s="27"/>
      <c r="H222" s="27"/>
      <c r="I222" s="27"/>
      <c r="J222" s="27"/>
      <c r="K222" s="27"/>
      <c r="L222" s="27"/>
      <c r="M222" s="27"/>
      <c r="N222" s="343">
        <f>SUBTOTAL(9,G222:M222)</f>
        <v>0</v>
      </c>
      <c r="O222" s="345">
        <f>IFERROR(N222/$N$18*100,"0.00")</f>
        <v>0</v>
      </c>
    </row>
    <row r="223" spans="1:15" ht="12.75" x14ac:dyDescent="0.2">
      <c r="A223" s="322">
        <v>2</v>
      </c>
      <c r="B223" s="323">
        <v>3</v>
      </c>
      <c r="C223" s="323">
        <v>6</v>
      </c>
      <c r="D223" s="323">
        <v>4</v>
      </c>
      <c r="E223" s="323"/>
      <c r="F223" s="331" t="s">
        <v>778</v>
      </c>
      <c r="G223" s="29">
        <f>+G224</f>
        <v>0</v>
      </c>
      <c r="H223" s="29">
        <f t="shared" ref="H223:O223" si="99">+H224</f>
        <v>0</v>
      </c>
      <c r="I223" s="29">
        <f t="shared" si="99"/>
        <v>0</v>
      </c>
      <c r="J223" s="29">
        <f t="shared" si="99"/>
        <v>0</v>
      </c>
      <c r="K223" s="29">
        <f t="shared" si="99"/>
        <v>0</v>
      </c>
      <c r="L223" s="29">
        <f t="shared" si="99"/>
        <v>0</v>
      </c>
      <c r="M223" s="29">
        <f t="shared" si="99"/>
        <v>0</v>
      </c>
      <c r="N223" s="29">
        <f t="shared" si="99"/>
        <v>0</v>
      </c>
      <c r="O223" s="54">
        <f t="shared" si="99"/>
        <v>0</v>
      </c>
    </row>
    <row r="224" spans="1:15" ht="12.75" x14ac:dyDescent="0.2">
      <c r="A224" s="332">
        <v>2</v>
      </c>
      <c r="B224" s="326">
        <v>3</v>
      </c>
      <c r="C224" s="326">
        <v>6</v>
      </c>
      <c r="D224" s="326">
        <v>4</v>
      </c>
      <c r="E224" s="326" t="s">
        <v>634</v>
      </c>
      <c r="F224" s="327" t="s">
        <v>779</v>
      </c>
      <c r="G224" s="27"/>
      <c r="H224" s="27"/>
      <c r="I224" s="27"/>
      <c r="J224" s="27"/>
      <c r="K224" s="27"/>
      <c r="L224" s="27"/>
      <c r="M224" s="27"/>
      <c r="N224" s="343">
        <f>SUBTOTAL(9,G224:M224)</f>
        <v>0</v>
      </c>
      <c r="O224" s="346">
        <f>IFERROR(N224/$N$18*100,"0.00")</f>
        <v>0</v>
      </c>
    </row>
    <row r="225" spans="1:15" ht="12.75" x14ac:dyDescent="0.2">
      <c r="A225" s="319">
        <v>2</v>
      </c>
      <c r="B225" s="320">
        <v>3</v>
      </c>
      <c r="C225" s="320">
        <v>7</v>
      </c>
      <c r="D225" s="320"/>
      <c r="E225" s="320"/>
      <c r="F225" s="321" t="s">
        <v>780</v>
      </c>
      <c r="G225" s="32">
        <f>+G226+G233</f>
        <v>42107</v>
      </c>
      <c r="H225" s="32">
        <f t="shared" ref="H225:O225" si="100">+H226+H233</f>
        <v>262694</v>
      </c>
      <c r="I225" s="32">
        <f t="shared" si="100"/>
        <v>382730</v>
      </c>
      <c r="J225" s="32">
        <f t="shared" si="100"/>
        <v>2109210.1</v>
      </c>
      <c r="K225" s="32">
        <f t="shared" si="100"/>
        <v>17507</v>
      </c>
      <c r="L225" s="32">
        <f t="shared" si="100"/>
        <v>34440</v>
      </c>
      <c r="M225" s="32">
        <f t="shared" si="100"/>
        <v>301475</v>
      </c>
      <c r="N225" s="32">
        <f t="shared" si="100"/>
        <v>3150163.1</v>
      </c>
      <c r="O225" s="32">
        <f t="shared" si="100"/>
        <v>0.67109770578529648</v>
      </c>
    </row>
    <row r="226" spans="1:15" ht="12.75" x14ac:dyDescent="0.2">
      <c r="A226" s="322">
        <v>2</v>
      </c>
      <c r="B226" s="323">
        <v>3</v>
      </c>
      <c r="C226" s="323">
        <v>7</v>
      </c>
      <c r="D226" s="323">
        <v>1</v>
      </c>
      <c r="E226" s="323"/>
      <c r="F226" s="331" t="s">
        <v>781</v>
      </c>
      <c r="G226" s="29">
        <f>+G227+G228+G229+G230+G231+G232</f>
        <v>42107</v>
      </c>
      <c r="H226" s="29">
        <f t="shared" ref="H226:O226" si="101">+H227+H228+H229+H230+H231+H232</f>
        <v>262694</v>
      </c>
      <c r="I226" s="29">
        <f t="shared" si="101"/>
        <v>382730</v>
      </c>
      <c r="J226" s="29">
        <f t="shared" si="101"/>
        <v>201587</v>
      </c>
      <c r="K226" s="29">
        <f t="shared" si="101"/>
        <v>17507</v>
      </c>
      <c r="L226" s="29">
        <f t="shared" si="101"/>
        <v>34440</v>
      </c>
      <c r="M226" s="29">
        <f t="shared" si="101"/>
        <v>301475</v>
      </c>
      <c r="N226" s="29">
        <f t="shared" si="101"/>
        <v>1242540</v>
      </c>
      <c r="O226" s="54">
        <f t="shared" si="101"/>
        <v>0.26470557773547093</v>
      </c>
    </row>
    <row r="227" spans="1:15" ht="12.75" x14ac:dyDescent="0.2">
      <c r="A227" s="332">
        <v>2</v>
      </c>
      <c r="B227" s="326">
        <v>3</v>
      </c>
      <c r="C227" s="326">
        <v>7</v>
      </c>
      <c r="D227" s="326">
        <v>1</v>
      </c>
      <c r="E227" s="326" t="s">
        <v>610</v>
      </c>
      <c r="F227" s="327" t="s">
        <v>782</v>
      </c>
      <c r="G227" s="27"/>
      <c r="H227" s="27">
        <v>80080</v>
      </c>
      <c r="I227" s="27">
        <v>60060</v>
      </c>
      <c r="J227" s="27">
        <v>120120</v>
      </c>
      <c r="K227" s="27"/>
      <c r="L227" s="27"/>
      <c r="M227" s="27">
        <v>140140</v>
      </c>
      <c r="N227" s="343">
        <f>SUBTOTAL(9,G227:M227)</f>
        <v>400400</v>
      </c>
      <c r="O227" s="346">
        <f>IFERROR(N227/$N$18*100,"0.00")</f>
        <v>8.52995584249059E-2</v>
      </c>
    </row>
    <row r="228" spans="1:15" ht="12.75" x14ac:dyDescent="0.2">
      <c r="A228" s="332">
        <v>2</v>
      </c>
      <c r="B228" s="326">
        <v>3</v>
      </c>
      <c r="C228" s="326">
        <v>7</v>
      </c>
      <c r="D228" s="326">
        <v>1</v>
      </c>
      <c r="E228" s="326" t="s">
        <v>612</v>
      </c>
      <c r="F228" s="327" t="s">
        <v>783</v>
      </c>
      <c r="G228" s="27">
        <v>24600</v>
      </c>
      <c r="H228" s="27">
        <v>147600</v>
      </c>
      <c r="I228" s="27">
        <v>147600</v>
      </c>
      <c r="J228" s="27">
        <v>63960</v>
      </c>
      <c r="K228" s="27"/>
      <c r="L228" s="27">
        <v>34440</v>
      </c>
      <c r="M228" s="27">
        <v>73800</v>
      </c>
      <c r="N228" s="343">
        <f t="shared" ref="N228:N237" si="102">SUBTOTAL(9,G228:M228)</f>
        <v>492000</v>
      </c>
      <c r="O228" s="346">
        <f t="shared" ref="O228:O237" si="103">IFERROR(N228/$N$18*100,"0.00")</f>
        <v>0.10481364321941483</v>
      </c>
    </row>
    <row r="229" spans="1:15" ht="12.75" x14ac:dyDescent="0.2">
      <c r="A229" s="332">
        <v>2</v>
      </c>
      <c r="B229" s="326">
        <v>3</v>
      </c>
      <c r="C229" s="326">
        <v>7</v>
      </c>
      <c r="D229" s="326">
        <v>1</v>
      </c>
      <c r="E229" s="326" t="s">
        <v>619</v>
      </c>
      <c r="F229" s="327" t="s">
        <v>784</v>
      </c>
      <c r="G229" s="27"/>
      <c r="H229" s="27"/>
      <c r="I229" s="27"/>
      <c r="J229" s="27"/>
      <c r="K229" s="27"/>
      <c r="L229" s="27"/>
      <c r="M229" s="27"/>
      <c r="N229" s="343">
        <f t="shared" si="102"/>
        <v>0</v>
      </c>
      <c r="O229" s="346">
        <f t="shared" si="103"/>
        <v>0</v>
      </c>
    </row>
    <row r="230" spans="1:15" ht="12.75" x14ac:dyDescent="0.2">
      <c r="A230" s="332">
        <v>2</v>
      </c>
      <c r="B230" s="326">
        <v>3</v>
      </c>
      <c r="C230" s="326">
        <v>7</v>
      </c>
      <c r="D230" s="326">
        <v>1</v>
      </c>
      <c r="E230" s="326" t="s">
        <v>634</v>
      </c>
      <c r="F230" s="327" t="s">
        <v>785</v>
      </c>
      <c r="G230" s="27">
        <v>17507</v>
      </c>
      <c r="H230" s="27">
        <v>35014</v>
      </c>
      <c r="I230" s="27">
        <v>175070</v>
      </c>
      <c r="J230" s="27">
        <v>17507</v>
      </c>
      <c r="K230" s="27">
        <v>17507</v>
      </c>
      <c r="L230" s="27"/>
      <c r="M230" s="27">
        <v>87535</v>
      </c>
      <c r="N230" s="343">
        <f t="shared" si="102"/>
        <v>350140</v>
      </c>
      <c r="O230" s="346">
        <f t="shared" si="103"/>
        <v>7.4592376091150228E-2</v>
      </c>
    </row>
    <row r="231" spans="1:15" ht="12.75" x14ac:dyDescent="0.2">
      <c r="A231" s="332">
        <v>2</v>
      </c>
      <c r="B231" s="326">
        <v>3</v>
      </c>
      <c r="C231" s="326">
        <v>7</v>
      </c>
      <c r="D231" s="326">
        <v>1</v>
      </c>
      <c r="E231" s="326" t="s">
        <v>614</v>
      </c>
      <c r="F231" s="327" t="s">
        <v>786</v>
      </c>
      <c r="G231" s="27"/>
      <c r="H231" s="27"/>
      <c r="I231" s="27"/>
      <c r="J231" s="27"/>
      <c r="K231" s="27"/>
      <c r="L231" s="27"/>
      <c r="M231" s="27"/>
      <c r="N231" s="343">
        <f t="shared" si="102"/>
        <v>0</v>
      </c>
      <c r="O231" s="346">
        <f t="shared" si="103"/>
        <v>0</v>
      </c>
    </row>
    <row r="232" spans="1:15" ht="12.75" x14ac:dyDescent="0.2">
      <c r="A232" s="332">
        <v>2</v>
      </c>
      <c r="B232" s="326">
        <v>3</v>
      </c>
      <c r="C232" s="326">
        <v>7</v>
      </c>
      <c r="D232" s="326">
        <v>1</v>
      </c>
      <c r="E232" s="326" t="s">
        <v>616</v>
      </c>
      <c r="F232" s="327" t="s">
        <v>787</v>
      </c>
      <c r="G232" s="27"/>
      <c r="H232" s="27"/>
      <c r="I232" s="27"/>
      <c r="J232" s="27"/>
      <c r="K232" s="27"/>
      <c r="L232" s="27"/>
      <c r="M232" s="27"/>
      <c r="N232" s="343">
        <f t="shared" si="102"/>
        <v>0</v>
      </c>
      <c r="O232" s="346">
        <f t="shared" si="103"/>
        <v>0</v>
      </c>
    </row>
    <row r="233" spans="1:15" ht="12.75" x14ac:dyDescent="0.2">
      <c r="A233" s="322">
        <v>2</v>
      </c>
      <c r="B233" s="323">
        <v>3</v>
      </c>
      <c r="C233" s="323">
        <v>7</v>
      </c>
      <c r="D233" s="323">
        <v>2</v>
      </c>
      <c r="E233" s="323"/>
      <c r="F233" s="331" t="s">
        <v>788</v>
      </c>
      <c r="G233" s="29">
        <f>+G234+G235+G236+G237</f>
        <v>0</v>
      </c>
      <c r="H233" s="29">
        <f t="shared" ref="H233:O233" si="104">+H234+H235+H236+H237</f>
        <v>0</v>
      </c>
      <c r="I233" s="29">
        <f t="shared" si="104"/>
        <v>0</v>
      </c>
      <c r="J233" s="29">
        <f t="shared" si="104"/>
        <v>1907623.1</v>
      </c>
      <c r="K233" s="29">
        <f t="shared" si="104"/>
        <v>0</v>
      </c>
      <c r="L233" s="29">
        <f t="shared" si="104"/>
        <v>0</v>
      </c>
      <c r="M233" s="29">
        <f t="shared" si="104"/>
        <v>0</v>
      </c>
      <c r="N233" s="29">
        <f t="shared" si="104"/>
        <v>1907623.1</v>
      </c>
      <c r="O233" s="54">
        <f t="shared" si="104"/>
        <v>0.4063921280498255</v>
      </c>
    </row>
    <row r="234" spans="1:15" ht="12.75" x14ac:dyDescent="0.2">
      <c r="A234" s="325">
        <v>2</v>
      </c>
      <c r="B234" s="326">
        <v>3</v>
      </c>
      <c r="C234" s="326">
        <v>7</v>
      </c>
      <c r="D234" s="326">
        <v>2</v>
      </c>
      <c r="E234" s="326" t="s">
        <v>612</v>
      </c>
      <c r="F234" s="327" t="s">
        <v>789</v>
      </c>
      <c r="G234" s="27"/>
      <c r="H234" s="27"/>
      <c r="I234" s="27"/>
      <c r="J234" s="27"/>
      <c r="K234" s="27"/>
      <c r="L234" s="27"/>
      <c r="M234" s="27"/>
      <c r="N234" s="343">
        <f t="shared" si="102"/>
        <v>0</v>
      </c>
      <c r="O234" s="346">
        <f t="shared" si="103"/>
        <v>0</v>
      </c>
    </row>
    <row r="235" spans="1:15" ht="12.75" x14ac:dyDescent="0.2">
      <c r="A235" s="325">
        <v>2</v>
      </c>
      <c r="B235" s="326">
        <v>3</v>
      </c>
      <c r="C235" s="326">
        <v>7</v>
      </c>
      <c r="D235" s="326">
        <v>2</v>
      </c>
      <c r="E235" s="326" t="s">
        <v>619</v>
      </c>
      <c r="F235" s="327" t="s">
        <v>790</v>
      </c>
      <c r="G235" s="27"/>
      <c r="H235" s="27"/>
      <c r="I235" s="27"/>
      <c r="J235" s="27">
        <v>1907623.1</v>
      </c>
      <c r="K235" s="27"/>
      <c r="L235" s="27"/>
      <c r="M235" s="27"/>
      <c r="N235" s="343">
        <f t="shared" si="102"/>
        <v>1907623.1</v>
      </c>
      <c r="O235" s="346">
        <f t="shared" si="103"/>
        <v>0.4063921280498255</v>
      </c>
    </row>
    <row r="236" spans="1:15" ht="12.75" x14ac:dyDescent="0.2">
      <c r="A236" s="325">
        <v>2</v>
      </c>
      <c r="B236" s="326">
        <v>3</v>
      </c>
      <c r="C236" s="326">
        <v>7</v>
      </c>
      <c r="D236" s="326">
        <v>2</v>
      </c>
      <c r="E236" s="326" t="s">
        <v>614</v>
      </c>
      <c r="F236" s="327" t="s">
        <v>791</v>
      </c>
      <c r="G236" s="27"/>
      <c r="H236" s="27"/>
      <c r="I236" s="27"/>
      <c r="J236" s="27"/>
      <c r="K236" s="27"/>
      <c r="L236" s="27"/>
      <c r="M236" s="27"/>
      <c r="N236" s="343">
        <f t="shared" si="102"/>
        <v>0</v>
      </c>
      <c r="O236" s="346">
        <f t="shared" si="103"/>
        <v>0</v>
      </c>
    </row>
    <row r="237" spans="1:15" ht="12.75" x14ac:dyDescent="0.2">
      <c r="A237" s="337">
        <v>2</v>
      </c>
      <c r="B237" s="338">
        <v>3</v>
      </c>
      <c r="C237" s="338">
        <v>7</v>
      </c>
      <c r="D237" s="338">
        <v>2</v>
      </c>
      <c r="E237" s="338" t="s">
        <v>616</v>
      </c>
      <c r="F237" s="328" t="s">
        <v>792</v>
      </c>
      <c r="G237" s="27"/>
      <c r="H237" s="27"/>
      <c r="I237" s="27"/>
      <c r="J237" s="27"/>
      <c r="K237" s="27"/>
      <c r="L237" s="27"/>
      <c r="M237" s="27"/>
      <c r="N237" s="343">
        <f t="shared" si="102"/>
        <v>0</v>
      </c>
      <c r="O237" s="346">
        <f t="shared" si="103"/>
        <v>0</v>
      </c>
    </row>
    <row r="238" spans="1:15" ht="12.75" x14ac:dyDescent="0.2">
      <c r="A238" s="319">
        <v>2</v>
      </c>
      <c r="B238" s="320">
        <v>3</v>
      </c>
      <c r="C238" s="320">
        <v>9</v>
      </c>
      <c r="D238" s="320"/>
      <c r="E238" s="320"/>
      <c r="F238" s="321" t="s">
        <v>793</v>
      </c>
      <c r="G238" s="32">
        <f>+G239+G242+G245+G247+G249+G251+G253</f>
        <v>1629449.25</v>
      </c>
      <c r="H238" s="32">
        <f t="shared" ref="H238:O238" si="105">+H239+H242+H245+H247+H249+H251+H253</f>
        <v>3919217.4</v>
      </c>
      <c r="I238" s="32">
        <f t="shared" si="105"/>
        <v>2939413.0500000003</v>
      </c>
      <c r="J238" s="32">
        <f t="shared" si="105"/>
        <v>1128897.56</v>
      </c>
      <c r="K238" s="32">
        <f t="shared" si="105"/>
        <v>607046.84</v>
      </c>
      <c r="L238" s="32">
        <f t="shared" si="105"/>
        <v>0</v>
      </c>
      <c r="M238" s="32">
        <f t="shared" si="105"/>
        <v>638970.9</v>
      </c>
      <c r="N238" s="32">
        <f t="shared" si="105"/>
        <v>10862995</v>
      </c>
      <c r="O238" s="32">
        <f t="shared" si="105"/>
        <v>2.3142074841957059</v>
      </c>
    </row>
    <row r="239" spans="1:15" ht="12.75" x14ac:dyDescent="0.2">
      <c r="A239" s="322">
        <v>2</v>
      </c>
      <c r="B239" s="323">
        <v>3</v>
      </c>
      <c r="C239" s="323">
        <v>9</v>
      </c>
      <c r="D239" s="323">
        <v>1</v>
      </c>
      <c r="E239" s="323"/>
      <c r="F239" s="331" t="s">
        <v>794</v>
      </c>
      <c r="G239" s="29">
        <f>+G240+G241</f>
        <v>0</v>
      </c>
      <c r="H239" s="29">
        <f t="shared" ref="H239:O239" si="106">+H240+H241</f>
        <v>0</v>
      </c>
      <c r="I239" s="29">
        <f t="shared" si="106"/>
        <v>0</v>
      </c>
      <c r="J239" s="29">
        <f t="shared" si="106"/>
        <v>0</v>
      </c>
      <c r="K239" s="29">
        <f t="shared" si="106"/>
        <v>0</v>
      </c>
      <c r="L239" s="29">
        <f t="shared" si="106"/>
        <v>0</v>
      </c>
      <c r="M239" s="29">
        <f t="shared" si="106"/>
        <v>0</v>
      </c>
      <c r="N239" s="29">
        <f t="shared" si="106"/>
        <v>0</v>
      </c>
      <c r="O239" s="54">
        <f t="shared" si="106"/>
        <v>0</v>
      </c>
    </row>
    <row r="240" spans="1:15" ht="12.75" x14ac:dyDescent="0.2">
      <c r="A240" s="332">
        <v>2</v>
      </c>
      <c r="B240" s="326">
        <v>3</v>
      </c>
      <c r="C240" s="326">
        <v>9</v>
      </c>
      <c r="D240" s="326">
        <v>1</v>
      </c>
      <c r="E240" s="326" t="s">
        <v>610</v>
      </c>
      <c r="F240" s="327" t="s">
        <v>795</v>
      </c>
      <c r="G240" s="343"/>
      <c r="H240" s="343"/>
      <c r="I240" s="343"/>
      <c r="J240" s="343"/>
      <c r="K240" s="343"/>
      <c r="L240" s="343"/>
      <c r="M240" s="343"/>
      <c r="N240" s="343">
        <f>SUBTOTAL(9,G240:M240)</f>
        <v>0</v>
      </c>
      <c r="O240" s="346">
        <f>IFERROR(N240/$N$18*100,"0.00")</f>
        <v>0</v>
      </c>
    </row>
    <row r="241" spans="1:15" ht="12.75" x14ac:dyDescent="0.2">
      <c r="A241" s="332">
        <v>2</v>
      </c>
      <c r="B241" s="326">
        <v>3</v>
      </c>
      <c r="C241" s="326">
        <v>9</v>
      </c>
      <c r="D241" s="326">
        <v>1</v>
      </c>
      <c r="E241" s="326" t="s">
        <v>612</v>
      </c>
      <c r="F241" s="327" t="s">
        <v>796</v>
      </c>
      <c r="G241" s="343"/>
      <c r="H241" s="343"/>
      <c r="I241" s="343"/>
      <c r="J241" s="343"/>
      <c r="K241" s="343"/>
      <c r="L241" s="343"/>
      <c r="M241" s="343"/>
      <c r="N241" s="343">
        <f>SUBTOTAL(9,G241:M241)</f>
        <v>0</v>
      </c>
      <c r="O241" s="346">
        <f>IFERROR(N241/$N$18*100,"0.00")</f>
        <v>0</v>
      </c>
    </row>
    <row r="242" spans="1:15" ht="12.75" x14ac:dyDescent="0.2">
      <c r="A242" s="322">
        <v>2</v>
      </c>
      <c r="B242" s="323">
        <v>3</v>
      </c>
      <c r="C242" s="323">
        <v>9</v>
      </c>
      <c r="D242" s="323">
        <v>2</v>
      </c>
      <c r="E242" s="323"/>
      <c r="F242" s="331" t="s">
        <v>797</v>
      </c>
      <c r="G242" s="29">
        <f>+G243+G244</f>
        <v>319485.45</v>
      </c>
      <c r="H242" s="29">
        <f t="shared" ref="H242:O242" si="107">+H243+H244</f>
        <v>425980.6</v>
      </c>
      <c r="I242" s="29">
        <f t="shared" si="107"/>
        <v>319485.45</v>
      </c>
      <c r="J242" s="29">
        <f t="shared" si="107"/>
        <v>255588.36</v>
      </c>
      <c r="K242" s="29">
        <f t="shared" si="107"/>
        <v>170392.24</v>
      </c>
      <c r="L242" s="29">
        <f t="shared" si="107"/>
        <v>0</v>
      </c>
      <c r="M242" s="29">
        <f t="shared" si="107"/>
        <v>638970.9</v>
      </c>
      <c r="N242" s="29">
        <f t="shared" si="107"/>
        <v>2129903</v>
      </c>
      <c r="O242" s="54">
        <f t="shared" si="107"/>
        <v>0.45374571775195388</v>
      </c>
    </row>
    <row r="243" spans="1:15" ht="12.75" x14ac:dyDescent="0.2">
      <c r="A243" s="332">
        <v>2</v>
      </c>
      <c r="B243" s="326">
        <v>3</v>
      </c>
      <c r="C243" s="326">
        <v>9</v>
      </c>
      <c r="D243" s="326">
        <v>2</v>
      </c>
      <c r="E243" s="326" t="s">
        <v>610</v>
      </c>
      <c r="F243" s="327" t="s">
        <v>798</v>
      </c>
      <c r="G243" s="27">
        <v>319485.45</v>
      </c>
      <c r="H243" s="27">
        <v>425980.6</v>
      </c>
      <c r="I243" s="27">
        <v>319485.45</v>
      </c>
      <c r="J243" s="27">
        <v>255588.36</v>
      </c>
      <c r="K243" s="27">
        <v>170392.24</v>
      </c>
      <c r="L243" s="27"/>
      <c r="M243" s="27">
        <v>638970.9</v>
      </c>
      <c r="N243" s="343">
        <f>SUBTOTAL(9,G243:M243)</f>
        <v>2129903</v>
      </c>
      <c r="O243" s="346">
        <f>IFERROR(N243/$N$18*100,"0.00")</f>
        <v>0.45374571775195388</v>
      </c>
    </row>
    <row r="244" spans="1:15" ht="12.75" x14ac:dyDescent="0.2">
      <c r="A244" s="332">
        <v>2</v>
      </c>
      <c r="B244" s="326">
        <v>3</v>
      </c>
      <c r="C244" s="326">
        <v>9</v>
      </c>
      <c r="D244" s="326">
        <v>2</v>
      </c>
      <c r="E244" s="326" t="s">
        <v>612</v>
      </c>
      <c r="F244" s="327" t="s">
        <v>799</v>
      </c>
      <c r="G244" s="27"/>
      <c r="H244" s="27"/>
      <c r="I244" s="27"/>
      <c r="J244" s="27"/>
      <c r="K244" s="27"/>
      <c r="L244" s="27"/>
      <c r="M244" s="27"/>
      <c r="N244" s="343">
        <f>SUBTOTAL(9,G244:M244)</f>
        <v>0</v>
      </c>
      <c r="O244" s="346">
        <f>IFERROR(N244/$N$18*100,"0.00")</f>
        <v>0</v>
      </c>
    </row>
    <row r="245" spans="1:15" ht="12.75" x14ac:dyDescent="0.2">
      <c r="A245" s="322">
        <v>2</v>
      </c>
      <c r="B245" s="323">
        <v>3</v>
      </c>
      <c r="C245" s="323">
        <v>9</v>
      </c>
      <c r="D245" s="323">
        <v>3</v>
      </c>
      <c r="E245" s="323"/>
      <c r="F245" s="331" t="s">
        <v>800</v>
      </c>
      <c r="G245" s="29">
        <f>+G246</f>
        <v>1309963.8</v>
      </c>
      <c r="H245" s="29">
        <f t="shared" ref="H245:O245" si="108">+H246</f>
        <v>3493236.8</v>
      </c>
      <c r="I245" s="29">
        <f t="shared" si="108"/>
        <v>2619927.6</v>
      </c>
      <c r="J245" s="29">
        <f t="shared" si="108"/>
        <v>873309.2</v>
      </c>
      <c r="K245" s="29">
        <f t="shared" si="108"/>
        <v>436654.6</v>
      </c>
      <c r="L245" s="29">
        <f t="shared" si="108"/>
        <v>0</v>
      </c>
      <c r="M245" s="29">
        <f t="shared" si="108"/>
        <v>0</v>
      </c>
      <c r="N245" s="29">
        <f t="shared" si="108"/>
        <v>8733092</v>
      </c>
      <c r="O245" s="54">
        <f t="shared" si="108"/>
        <v>1.8604617664437519</v>
      </c>
    </row>
    <row r="246" spans="1:15" ht="12.75" x14ac:dyDescent="0.2">
      <c r="A246" s="332">
        <v>2</v>
      </c>
      <c r="B246" s="326">
        <v>3</v>
      </c>
      <c r="C246" s="326">
        <v>9</v>
      </c>
      <c r="D246" s="326">
        <v>3</v>
      </c>
      <c r="E246" s="326" t="s">
        <v>610</v>
      </c>
      <c r="F246" s="327" t="s">
        <v>800</v>
      </c>
      <c r="G246" s="27">
        <v>1309963.8</v>
      </c>
      <c r="H246" s="27">
        <v>3493236.8</v>
      </c>
      <c r="I246" s="27">
        <v>2619927.6</v>
      </c>
      <c r="J246" s="27">
        <v>873309.2</v>
      </c>
      <c r="K246" s="27">
        <v>436654.6</v>
      </c>
      <c r="L246" s="27"/>
      <c r="M246" s="27"/>
      <c r="N246" s="343">
        <f>SUBTOTAL(9,G246:M246)</f>
        <v>8733092</v>
      </c>
      <c r="O246" s="346">
        <f>IFERROR(N246/$N$18*100,"0.00")</f>
        <v>1.8604617664437519</v>
      </c>
    </row>
    <row r="247" spans="1:15" ht="12.75" x14ac:dyDescent="0.2">
      <c r="A247" s="322">
        <v>2</v>
      </c>
      <c r="B247" s="323">
        <v>3</v>
      </c>
      <c r="C247" s="323">
        <v>9</v>
      </c>
      <c r="D247" s="323">
        <v>5</v>
      </c>
      <c r="E247" s="323"/>
      <c r="F247" s="331" t="s">
        <v>801</v>
      </c>
      <c r="G247" s="29">
        <f>+G248</f>
        <v>0</v>
      </c>
      <c r="H247" s="29">
        <f t="shared" ref="H247:O247" si="109">+H248</f>
        <v>0</v>
      </c>
      <c r="I247" s="29">
        <f t="shared" si="109"/>
        <v>0</v>
      </c>
      <c r="J247" s="29">
        <f t="shared" si="109"/>
        <v>0</v>
      </c>
      <c r="K247" s="29">
        <f t="shared" si="109"/>
        <v>0</v>
      </c>
      <c r="L247" s="29">
        <f t="shared" si="109"/>
        <v>0</v>
      </c>
      <c r="M247" s="29">
        <f t="shared" si="109"/>
        <v>0</v>
      </c>
      <c r="N247" s="29">
        <f t="shared" si="109"/>
        <v>0</v>
      </c>
      <c r="O247" s="54">
        <f t="shared" si="109"/>
        <v>0</v>
      </c>
    </row>
    <row r="248" spans="1:15" ht="12.75" x14ac:dyDescent="0.2">
      <c r="A248" s="332">
        <v>2</v>
      </c>
      <c r="B248" s="326">
        <v>3</v>
      </c>
      <c r="C248" s="326">
        <v>9</v>
      </c>
      <c r="D248" s="326">
        <v>5</v>
      </c>
      <c r="E248" s="326" t="s">
        <v>610</v>
      </c>
      <c r="F248" s="327" t="s">
        <v>801</v>
      </c>
      <c r="G248" s="27"/>
      <c r="H248" s="27"/>
      <c r="I248" s="27"/>
      <c r="J248" s="27"/>
      <c r="K248" s="27"/>
      <c r="L248" s="27"/>
      <c r="M248" s="27"/>
      <c r="N248" s="343">
        <f>SUBTOTAL(9,G248:M248)</f>
        <v>0</v>
      </c>
      <c r="O248" s="346">
        <f>IFERROR(N248/$N$18*100,"0.00")</f>
        <v>0</v>
      </c>
    </row>
    <row r="249" spans="1:15" ht="12.75" x14ac:dyDescent="0.2">
      <c r="A249" s="322">
        <v>2</v>
      </c>
      <c r="B249" s="323">
        <v>3</v>
      </c>
      <c r="C249" s="323">
        <v>9</v>
      </c>
      <c r="D249" s="323">
        <v>6</v>
      </c>
      <c r="E249" s="323"/>
      <c r="F249" s="331" t="s">
        <v>802</v>
      </c>
      <c r="G249" s="29">
        <f>+G250</f>
        <v>0</v>
      </c>
      <c r="H249" s="29">
        <f t="shared" ref="H249:O249" si="110">+H250</f>
        <v>0</v>
      </c>
      <c r="I249" s="29">
        <f t="shared" si="110"/>
        <v>0</v>
      </c>
      <c r="J249" s="29">
        <f t="shared" si="110"/>
        <v>0</v>
      </c>
      <c r="K249" s="29">
        <f t="shared" si="110"/>
        <v>0</v>
      </c>
      <c r="L249" s="29">
        <f t="shared" si="110"/>
        <v>0</v>
      </c>
      <c r="M249" s="29">
        <f t="shared" si="110"/>
        <v>0</v>
      </c>
      <c r="N249" s="29">
        <f t="shared" si="110"/>
        <v>0</v>
      </c>
      <c r="O249" s="54">
        <f t="shared" si="110"/>
        <v>0</v>
      </c>
    </row>
    <row r="250" spans="1:15" ht="12.75" x14ac:dyDescent="0.2">
      <c r="A250" s="332">
        <v>2</v>
      </c>
      <c r="B250" s="326">
        <v>3</v>
      </c>
      <c r="C250" s="326">
        <v>9</v>
      </c>
      <c r="D250" s="326">
        <v>6</v>
      </c>
      <c r="E250" s="326" t="s">
        <v>610</v>
      </c>
      <c r="F250" s="327" t="s">
        <v>802</v>
      </c>
      <c r="G250" s="27"/>
      <c r="H250" s="27"/>
      <c r="I250" s="27"/>
      <c r="J250" s="27"/>
      <c r="K250" s="27"/>
      <c r="L250" s="27"/>
      <c r="M250" s="27"/>
      <c r="N250" s="343">
        <f>SUBTOTAL(9,G250:M250)</f>
        <v>0</v>
      </c>
      <c r="O250" s="346">
        <f>IFERROR(N250/$N$18*100,"0.00")</f>
        <v>0</v>
      </c>
    </row>
    <row r="251" spans="1:15" ht="12.75" x14ac:dyDescent="0.2">
      <c r="A251" s="322">
        <v>2</v>
      </c>
      <c r="B251" s="323">
        <v>3</v>
      </c>
      <c r="C251" s="323">
        <v>9</v>
      </c>
      <c r="D251" s="323">
        <v>8</v>
      </c>
      <c r="E251" s="323"/>
      <c r="F251" s="331" t="s">
        <v>803</v>
      </c>
      <c r="G251" s="29">
        <f>+G252</f>
        <v>0</v>
      </c>
      <c r="H251" s="29">
        <f t="shared" ref="H251:O251" si="111">+H252</f>
        <v>0</v>
      </c>
      <c r="I251" s="29">
        <f t="shared" si="111"/>
        <v>0</v>
      </c>
      <c r="J251" s="29">
        <f t="shared" si="111"/>
        <v>0</v>
      </c>
      <c r="K251" s="29">
        <f t="shared" si="111"/>
        <v>0</v>
      </c>
      <c r="L251" s="29">
        <f t="shared" si="111"/>
        <v>0</v>
      </c>
      <c r="M251" s="29">
        <f t="shared" si="111"/>
        <v>0</v>
      </c>
      <c r="N251" s="29">
        <f t="shared" si="111"/>
        <v>0</v>
      </c>
      <c r="O251" s="54">
        <f t="shared" si="111"/>
        <v>0</v>
      </c>
    </row>
    <row r="252" spans="1:15" ht="12.75" x14ac:dyDescent="0.2">
      <c r="A252" s="332">
        <v>2</v>
      </c>
      <c r="B252" s="326">
        <v>3</v>
      </c>
      <c r="C252" s="326">
        <v>9</v>
      </c>
      <c r="D252" s="326">
        <v>8</v>
      </c>
      <c r="E252" s="326" t="s">
        <v>610</v>
      </c>
      <c r="F252" s="327" t="s">
        <v>803</v>
      </c>
      <c r="G252" s="27"/>
      <c r="H252" s="27"/>
      <c r="I252" s="27"/>
      <c r="J252" s="27"/>
      <c r="K252" s="27"/>
      <c r="L252" s="27"/>
      <c r="M252" s="27"/>
      <c r="N252" s="343">
        <f>SUBTOTAL(9,G252:M252)</f>
        <v>0</v>
      </c>
      <c r="O252" s="346">
        <f>IFERROR(N252/$N$18*100,"0.00")</f>
        <v>0</v>
      </c>
    </row>
    <row r="253" spans="1:15" ht="12.75" x14ac:dyDescent="0.2">
      <c r="A253" s="322">
        <v>2</v>
      </c>
      <c r="B253" s="323">
        <v>3</v>
      </c>
      <c r="C253" s="323">
        <v>9</v>
      </c>
      <c r="D253" s="323">
        <v>9</v>
      </c>
      <c r="E253" s="323"/>
      <c r="F253" s="331" t="s">
        <v>804</v>
      </c>
      <c r="G253" s="29">
        <f>+G254</f>
        <v>0</v>
      </c>
      <c r="H253" s="29">
        <f t="shared" ref="H253:O253" si="112">+H254</f>
        <v>0</v>
      </c>
      <c r="I253" s="29">
        <f t="shared" si="112"/>
        <v>0</v>
      </c>
      <c r="J253" s="29">
        <f t="shared" si="112"/>
        <v>0</v>
      </c>
      <c r="K253" s="29">
        <f t="shared" si="112"/>
        <v>0</v>
      </c>
      <c r="L253" s="29">
        <f t="shared" si="112"/>
        <v>0</v>
      </c>
      <c r="M253" s="29">
        <f t="shared" si="112"/>
        <v>0</v>
      </c>
      <c r="N253" s="29">
        <f t="shared" si="112"/>
        <v>0</v>
      </c>
      <c r="O253" s="54">
        <f t="shared" si="112"/>
        <v>0</v>
      </c>
    </row>
    <row r="254" spans="1:15" ht="12.75" x14ac:dyDescent="0.2">
      <c r="A254" s="332">
        <v>2</v>
      </c>
      <c r="B254" s="326">
        <v>3</v>
      </c>
      <c r="C254" s="326">
        <v>9</v>
      </c>
      <c r="D254" s="326">
        <v>9</v>
      </c>
      <c r="E254" s="326" t="s">
        <v>610</v>
      </c>
      <c r="F254" s="327" t="s">
        <v>804</v>
      </c>
      <c r="G254" s="27"/>
      <c r="H254" s="27"/>
      <c r="I254" s="27"/>
      <c r="J254" s="27"/>
      <c r="K254" s="27"/>
      <c r="L254" s="27"/>
      <c r="M254" s="27"/>
      <c r="N254" s="343">
        <f>SUBTOTAL(9,G254:M254)</f>
        <v>0</v>
      </c>
      <c r="O254" s="346">
        <f>IFERROR(N254/$N$18*100,"0.00")</f>
        <v>0</v>
      </c>
    </row>
    <row r="255" spans="1:15" ht="12.75" x14ac:dyDescent="0.2">
      <c r="A255" s="315">
        <v>2</v>
      </c>
      <c r="B255" s="316">
        <v>4</v>
      </c>
      <c r="C255" s="317"/>
      <c r="D255" s="317"/>
      <c r="E255" s="317"/>
      <c r="F255" s="318" t="s">
        <v>562</v>
      </c>
      <c r="G255" s="33">
        <f>+G256+G264+G267</f>
        <v>0</v>
      </c>
      <c r="H255" s="33">
        <f t="shared" ref="H255:O255" si="113">+H256+H264+H267</f>
        <v>0</v>
      </c>
      <c r="I255" s="33">
        <f t="shared" si="113"/>
        <v>0</v>
      </c>
      <c r="J255" s="33">
        <f t="shared" si="113"/>
        <v>0</v>
      </c>
      <c r="K255" s="33">
        <f t="shared" si="113"/>
        <v>0</v>
      </c>
      <c r="L255" s="33">
        <f t="shared" si="113"/>
        <v>0</v>
      </c>
      <c r="M255" s="33">
        <f t="shared" si="113"/>
        <v>0</v>
      </c>
      <c r="N255" s="33">
        <f t="shared" si="113"/>
        <v>0</v>
      </c>
      <c r="O255" s="33">
        <f t="shared" si="113"/>
        <v>0</v>
      </c>
    </row>
    <row r="256" spans="1:15" ht="12.75" x14ac:dyDescent="0.2">
      <c r="A256" s="319">
        <v>2</v>
      </c>
      <c r="B256" s="320">
        <v>4</v>
      </c>
      <c r="C256" s="320">
        <v>1</v>
      </c>
      <c r="D256" s="320"/>
      <c r="E256" s="320"/>
      <c r="F256" s="321" t="s">
        <v>805</v>
      </c>
      <c r="G256" s="32">
        <f>+G257+G260+G262</f>
        <v>0</v>
      </c>
      <c r="H256" s="32">
        <f t="shared" ref="H256:O256" si="114">+H257+H260+H262</f>
        <v>0</v>
      </c>
      <c r="I256" s="32">
        <f t="shared" si="114"/>
        <v>0</v>
      </c>
      <c r="J256" s="32">
        <f t="shared" si="114"/>
        <v>0</v>
      </c>
      <c r="K256" s="32">
        <f t="shared" si="114"/>
        <v>0</v>
      </c>
      <c r="L256" s="32">
        <f t="shared" si="114"/>
        <v>0</v>
      </c>
      <c r="M256" s="32">
        <f t="shared" si="114"/>
        <v>0</v>
      </c>
      <c r="N256" s="32">
        <f t="shared" si="114"/>
        <v>0</v>
      </c>
      <c r="O256" s="32">
        <f t="shared" si="114"/>
        <v>0</v>
      </c>
    </row>
    <row r="257" spans="1:15" ht="12.75" x14ac:dyDescent="0.2">
      <c r="A257" s="322">
        <v>2</v>
      </c>
      <c r="B257" s="323">
        <v>4</v>
      </c>
      <c r="C257" s="323">
        <v>1</v>
      </c>
      <c r="D257" s="323">
        <v>2</v>
      </c>
      <c r="E257" s="323"/>
      <c r="F257" s="331" t="s">
        <v>806</v>
      </c>
      <c r="G257" s="29">
        <f>+G258+G259</f>
        <v>0</v>
      </c>
      <c r="H257" s="29">
        <f t="shared" ref="H257:O257" si="115">+H258+H259</f>
        <v>0</v>
      </c>
      <c r="I257" s="29">
        <f t="shared" si="115"/>
        <v>0</v>
      </c>
      <c r="J257" s="29">
        <f t="shared" si="115"/>
        <v>0</v>
      </c>
      <c r="K257" s="29">
        <f t="shared" si="115"/>
        <v>0</v>
      </c>
      <c r="L257" s="29">
        <f t="shared" si="115"/>
        <v>0</v>
      </c>
      <c r="M257" s="29">
        <f t="shared" si="115"/>
        <v>0</v>
      </c>
      <c r="N257" s="29">
        <f t="shared" si="115"/>
        <v>0</v>
      </c>
      <c r="O257" s="54">
        <f t="shared" si="115"/>
        <v>0</v>
      </c>
    </row>
    <row r="258" spans="1:15" ht="12.75" x14ac:dyDescent="0.2">
      <c r="A258" s="332">
        <v>2</v>
      </c>
      <c r="B258" s="326">
        <v>4</v>
      </c>
      <c r="C258" s="326">
        <v>1</v>
      </c>
      <c r="D258" s="326">
        <v>2</v>
      </c>
      <c r="E258" s="326" t="s">
        <v>610</v>
      </c>
      <c r="F258" s="330" t="s">
        <v>807</v>
      </c>
      <c r="G258" s="27"/>
      <c r="H258" s="27"/>
      <c r="I258" s="27"/>
      <c r="J258" s="27"/>
      <c r="K258" s="27"/>
      <c r="L258" s="27"/>
      <c r="M258" s="27"/>
      <c r="N258" s="343">
        <f>SUBTOTAL(9,G258:M258)</f>
        <v>0</v>
      </c>
      <c r="O258" s="346">
        <f>IFERROR(N258/$N$18*100,"0.00")</f>
        <v>0</v>
      </c>
    </row>
    <row r="259" spans="1:15" ht="12.75" x14ac:dyDescent="0.2">
      <c r="A259" s="332">
        <v>2</v>
      </c>
      <c r="B259" s="326">
        <v>4</v>
      </c>
      <c r="C259" s="326">
        <v>1</v>
      </c>
      <c r="D259" s="326">
        <v>2</v>
      </c>
      <c r="E259" s="326" t="s">
        <v>612</v>
      </c>
      <c r="F259" s="330" t="s">
        <v>808</v>
      </c>
      <c r="G259" s="27"/>
      <c r="H259" s="27"/>
      <c r="I259" s="27"/>
      <c r="J259" s="27"/>
      <c r="K259" s="27"/>
      <c r="L259" s="27"/>
      <c r="M259" s="27"/>
      <c r="N259" s="343">
        <f>SUBTOTAL(9,G259:M259)</f>
        <v>0</v>
      </c>
      <c r="O259" s="346">
        <f>IFERROR(N259/$N$18*100,"0.00")</f>
        <v>0</v>
      </c>
    </row>
    <row r="260" spans="1:15" ht="12.75" x14ac:dyDescent="0.2">
      <c r="A260" s="334">
        <v>2</v>
      </c>
      <c r="B260" s="323">
        <v>4</v>
      </c>
      <c r="C260" s="323">
        <v>1</v>
      </c>
      <c r="D260" s="323">
        <v>5</v>
      </c>
      <c r="E260" s="323"/>
      <c r="F260" s="339" t="s">
        <v>809</v>
      </c>
      <c r="G260" s="30">
        <f t="shared" ref="G260:O260" si="116">+G261</f>
        <v>0</v>
      </c>
      <c r="H260" s="30">
        <f t="shared" si="116"/>
        <v>0</v>
      </c>
      <c r="I260" s="30">
        <f t="shared" si="116"/>
        <v>0</v>
      </c>
      <c r="J260" s="30">
        <f t="shared" si="116"/>
        <v>0</v>
      </c>
      <c r="K260" s="30">
        <f t="shared" si="116"/>
        <v>0</v>
      </c>
      <c r="L260" s="30">
        <f t="shared" si="116"/>
        <v>0</v>
      </c>
      <c r="M260" s="30">
        <f t="shared" si="116"/>
        <v>0</v>
      </c>
      <c r="N260" s="30">
        <f t="shared" si="116"/>
        <v>0</v>
      </c>
      <c r="O260" s="54">
        <f t="shared" si="116"/>
        <v>0</v>
      </c>
    </row>
    <row r="261" spans="1:15" ht="12.75" x14ac:dyDescent="0.2">
      <c r="A261" s="332">
        <v>2</v>
      </c>
      <c r="B261" s="326">
        <v>4</v>
      </c>
      <c r="C261" s="326">
        <v>1</v>
      </c>
      <c r="D261" s="326">
        <v>5</v>
      </c>
      <c r="E261" s="326" t="s">
        <v>610</v>
      </c>
      <c r="F261" s="330" t="s">
        <v>809</v>
      </c>
      <c r="G261" s="28"/>
      <c r="H261" s="28"/>
      <c r="I261" s="28"/>
      <c r="J261" s="28"/>
      <c r="K261" s="28"/>
      <c r="L261" s="28"/>
      <c r="M261" s="28"/>
      <c r="N261" s="344">
        <f>SUBTOTAL(9,G261:M261)</f>
        <v>0</v>
      </c>
      <c r="O261" s="346">
        <f>IFERROR(N261/$N$18*100,"0.00")</f>
        <v>0</v>
      </c>
    </row>
    <row r="262" spans="1:15" ht="12.75" x14ac:dyDescent="0.2">
      <c r="A262" s="322">
        <v>2</v>
      </c>
      <c r="B262" s="323">
        <v>4</v>
      </c>
      <c r="C262" s="323">
        <v>1</v>
      </c>
      <c r="D262" s="323">
        <v>6</v>
      </c>
      <c r="E262" s="326"/>
      <c r="F262" s="339" t="s">
        <v>810</v>
      </c>
      <c r="G262" s="29">
        <f>+G263</f>
        <v>0</v>
      </c>
      <c r="H262" s="29">
        <f t="shared" ref="H262:M262" si="117">+H263</f>
        <v>0</v>
      </c>
      <c r="I262" s="29">
        <f t="shared" si="117"/>
        <v>0</v>
      </c>
      <c r="J262" s="29">
        <f t="shared" si="117"/>
        <v>0</v>
      </c>
      <c r="K262" s="29">
        <f t="shared" si="117"/>
        <v>0</v>
      </c>
      <c r="L262" s="29">
        <f t="shared" si="117"/>
        <v>0</v>
      </c>
      <c r="M262" s="29">
        <f t="shared" si="117"/>
        <v>0</v>
      </c>
      <c r="N262" s="29">
        <f>+N263</f>
        <v>0</v>
      </c>
      <c r="O262" s="54">
        <f>+O263</f>
        <v>0</v>
      </c>
    </row>
    <row r="263" spans="1:15" ht="12.75" x14ac:dyDescent="0.2">
      <c r="A263" s="332">
        <v>2</v>
      </c>
      <c r="B263" s="326">
        <v>4</v>
      </c>
      <c r="C263" s="326">
        <v>1</v>
      </c>
      <c r="D263" s="326">
        <v>6</v>
      </c>
      <c r="E263" s="326" t="s">
        <v>610</v>
      </c>
      <c r="F263" s="330" t="s">
        <v>811</v>
      </c>
      <c r="G263" s="27"/>
      <c r="H263" s="27"/>
      <c r="I263" s="27"/>
      <c r="J263" s="27"/>
      <c r="K263" s="27"/>
      <c r="L263" s="27"/>
      <c r="M263" s="27"/>
      <c r="N263" s="343">
        <f>SUBTOTAL(9,G263:M263)</f>
        <v>0</v>
      </c>
      <c r="O263" s="346">
        <f>IFERROR(N263/$N$18*100,"0.00")</f>
        <v>0</v>
      </c>
    </row>
    <row r="264" spans="1:15" ht="12.75" x14ac:dyDescent="0.2">
      <c r="A264" s="319">
        <v>2</v>
      </c>
      <c r="B264" s="320">
        <v>4</v>
      </c>
      <c r="C264" s="320">
        <v>4</v>
      </c>
      <c r="D264" s="320"/>
      <c r="E264" s="320"/>
      <c r="F264" s="321" t="s">
        <v>812</v>
      </c>
      <c r="G264" s="32">
        <f>+G265</f>
        <v>0</v>
      </c>
      <c r="H264" s="32">
        <f t="shared" ref="H264:M265" si="118">+H265</f>
        <v>0</v>
      </c>
      <c r="I264" s="32">
        <f t="shared" si="118"/>
        <v>0</v>
      </c>
      <c r="J264" s="32">
        <f t="shared" si="118"/>
        <v>0</v>
      </c>
      <c r="K264" s="32">
        <f t="shared" si="118"/>
        <v>0</v>
      </c>
      <c r="L264" s="32">
        <f t="shared" si="118"/>
        <v>0</v>
      </c>
      <c r="M264" s="32">
        <f t="shared" si="118"/>
        <v>0</v>
      </c>
      <c r="N264" s="32">
        <f>+N265</f>
        <v>0</v>
      </c>
      <c r="O264" s="52">
        <f>+O265</f>
        <v>0</v>
      </c>
    </row>
    <row r="265" spans="1:15" ht="12.75" x14ac:dyDescent="0.2">
      <c r="A265" s="331">
        <v>2</v>
      </c>
      <c r="B265" s="323">
        <v>4</v>
      </c>
      <c r="C265" s="323">
        <v>4</v>
      </c>
      <c r="D265" s="323">
        <v>1</v>
      </c>
      <c r="E265" s="323"/>
      <c r="F265" s="339" t="s">
        <v>813</v>
      </c>
      <c r="G265" s="29">
        <f>+G266</f>
        <v>0</v>
      </c>
      <c r="H265" s="29">
        <f t="shared" si="118"/>
        <v>0</v>
      </c>
      <c r="I265" s="29">
        <f t="shared" si="118"/>
        <v>0</v>
      </c>
      <c r="J265" s="29">
        <f t="shared" si="118"/>
        <v>0</v>
      </c>
      <c r="K265" s="29">
        <f t="shared" si="118"/>
        <v>0</v>
      </c>
      <c r="L265" s="29">
        <f t="shared" si="118"/>
        <v>0</v>
      </c>
      <c r="M265" s="29">
        <f t="shared" si="118"/>
        <v>0</v>
      </c>
      <c r="N265" s="29">
        <f>+N266</f>
        <v>0</v>
      </c>
      <c r="O265" s="54">
        <f>+O266</f>
        <v>0</v>
      </c>
    </row>
    <row r="266" spans="1:15" ht="22.5" x14ac:dyDescent="0.2">
      <c r="A266" s="327">
        <v>2</v>
      </c>
      <c r="B266" s="326">
        <v>4</v>
      </c>
      <c r="C266" s="326">
        <v>4</v>
      </c>
      <c r="D266" s="326">
        <v>1</v>
      </c>
      <c r="E266" s="326" t="s">
        <v>619</v>
      </c>
      <c r="F266" s="330" t="s">
        <v>814</v>
      </c>
      <c r="G266" s="27"/>
      <c r="H266" s="27"/>
      <c r="I266" s="27"/>
      <c r="J266" s="27"/>
      <c r="K266" s="27"/>
      <c r="L266" s="27"/>
      <c r="M266" s="27"/>
      <c r="N266" s="343">
        <f>SUBTOTAL(9,G266:M266)</f>
        <v>0</v>
      </c>
      <c r="O266" s="346">
        <f>IFERROR(N266/$N$18*100,"0.00")</f>
        <v>0</v>
      </c>
    </row>
    <row r="267" spans="1:15" ht="12.75" x14ac:dyDescent="0.2">
      <c r="A267" s="319">
        <v>2</v>
      </c>
      <c r="B267" s="320">
        <v>4</v>
      </c>
      <c r="C267" s="320">
        <v>9</v>
      </c>
      <c r="D267" s="320"/>
      <c r="E267" s="320"/>
      <c r="F267" s="321" t="s">
        <v>815</v>
      </c>
      <c r="G267" s="32">
        <f>+G268+G270</f>
        <v>0</v>
      </c>
      <c r="H267" s="32">
        <f t="shared" ref="H267:O267" si="119">+H268+H270</f>
        <v>0</v>
      </c>
      <c r="I267" s="32">
        <f t="shared" si="119"/>
        <v>0</v>
      </c>
      <c r="J267" s="32">
        <f t="shared" si="119"/>
        <v>0</v>
      </c>
      <c r="K267" s="32">
        <f t="shared" si="119"/>
        <v>0</v>
      </c>
      <c r="L267" s="32">
        <f t="shared" si="119"/>
        <v>0</v>
      </c>
      <c r="M267" s="32">
        <f t="shared" si="119"/>
        <v>0</v>
      </c>
      <c r="N267" s="32">
        <f t="shared" si="119"/>
        <v>0</v>
      </c>
      <c r="O267" s="32">
        <f t="shared" si="119"/>
        <v>0</v>
      </c>
    </row>
    <row r="268" spans="1:15" ht="12.75" x14ac:dyDescent="0.2">
      <c r="A268" s="334">
        <v>2</v>
      </c>
      <c r="B268" s="323">
        <v>4</v>
      </c>
      <c r="C268" s="323">
        <v>9</v>
      </c>
      <c r="D268" s="323">
        <v>1</v>
      </c>
      <c r="E268" s="323"/>
      <c r="F268" s="339" t="s">
        <v>815</v>
      </c>
      <c r="G268" s="29">
        <f t="shared" ref="G268:O268" si="120">+G269</f>
        <v>0</v>
      </c>
      <c r="H268" s="29">
        <f t="shared" si="120"/>
        <v>0</v>
      </c>
      <c r="I268" s="29">
        <f t="shared" si="120"/>
        <v>0</v>
      </c>
      <c r="J268" s="29">
        <f t="shared" si="120"/>
        <v>0</v>
      </c>
      <c r="K268" s="29">
        <f t="shared" si="120"/>
        <v>0</v>
      </c>
      <c r="L268" s="29">
        <f t="shared" si="120"/>
        <v>0</v>
      </c>
      <c r="M268" s="29">
        <f t="shared" si="120"/>
        <v>0</v>
      </c>
      <c r="N268" s="29">
        <f t="shared" si="120"/>
        <v>0</v>
      </c>
      <c r="O268" s="54">
        <f t="shared" si="120"/>
        <v>0</v>
      </c>
    </row>
    <row r="269" spans="1:15" ht="12.75" x14ac:dyDescent="0.2">
      <c r="A269" s="332">
        <v>2</v>
      </c>
      <c r="B269" s="326">
        <v>4</v>
      </c>
      <c r="C269" s="326">
        <v>9</v>
      </c>
      <c r="D269" s="326">
        <v>1</v>
      </c>
      <c r="E269" s="326" t="s">
        <v>610</v>
      </c>
      <c r="F269" s="330" t="s">
        <v>815</v>
      </c>
      <c r="G269" s="27"/>
      <c r="H269" s="27"/>
      <c r="I269" s="27"/>
      <c r="J269" s="27"/>
      <c r="K269" s="27"/>
      <c r="L269" s="27"/>
      <c r="M269" s="27"/>
      <c r="N269" s="343">
        <f>SUBTOTAL(9,G269:M269)</f>
        <v>0</v>
      </c>
      <c r="O269" s="346">
        <f>IFERROR(N269/$N$18*100,"0.00")</f>
        <v>0</v>
      </c>
    </row>
    <row r="270" spans="1:15" ht="12.75" x14ac:dyDescent="0.2">
      <c r="A270" s="334">
        <v>2</v>
      </c>
      <c r="B270" s="323">
        <v>4</v>
      </c>
      <c r="C270" s="323">
        <v>9</v>
      </c>
      <c r="D270" s="323">
        <v>4</v>
      </c>
      <c r="E270" s="323"/>
      <c r="F270" s="339" t="s">
        <v>816</v>
      </c>
      <c r="G270" s="29">
        <f>+G271</f>
        <v>0</v>
      </c>
      <c r="H270" s="29">
        <f t="shared" ref="H270:M270" si="121">+H271</f>
        <v>0</v>
      </c>
      <c r="I270" s="29">
        <f t="shared" si="121"/>
        <v>0</v>
      </c>
      <c r="J270" s="29">
        <f t="shared" si="121"/>
        <v>0</v>
      </c>
      <c r="K270" s="29">
        <f t="shared" si="121"/>
        <v>0</v>
      </c>
      <c r="L270" s="29">
        <f t="shared" si="121"/>
        <v>0</v>
      </c>
      <c r="M270" s="29">
        <f t="shared" si="121"/>
        <v>0</v>
      </c>
      <c r="N270" s="29">
        <f>+N271</f>
        <v>0</v>
      </c>
      <c r="O270" s="54">
        <f>+O271</f>
        <v>0</v>
      </c>
    </row>
    <row r="271" spans="1:15" ht="12.75" x14ac:dyDescent="0.2">
      <c r="A271" s="325">
        <v>2</v>
      </c>
      <c r="B271" s="326">
        <v>4</v>
      </c>
      <c r="C271" s="326">
        <v>9</v>
      </c>
      <c r="D271" s="326">
        <v>4</v>
      </c>
      <c r="E271" s="326" t="s">
        <v>610</v>
      </c>
      <c r="F271" s="330" t="s">
        <v>816</v>
      </c>
      <c r="G271" s="27"/>
      <c r="H271" s="27"/>
      <c r="I271" s="27"/>
      <c r="J271" s="27"/>
      <c r="K271" s="27"/>
      <c r="L271" s="27"/>
      <c r="M271" s="27"/>
      <c r="N271" s="343">
        <f>SUBTOTAL(9,G271:M271)</f>
        <v>0</v>
      </c>
      <c r="O271" s="346">
        <f>IFERROR(N271/$N$18*100,"0.00")</f>
        <v>0</v>
      </c>
    </row>
    <row r="272" spans="1:15" ht="12.75" x14ac:dyDescent="0.2">
      <c r="A272" s="315">
        <v>2</v>
      </c>
      <c r="B272" s="316">
        <v>6</v>
      </c>
      <c r="C272" s="317"/>
      <c r="D272" s="317"/>
      <c r="E272" s="317"/>
      <c r="F272" s="318" t="s">
        <v>817</v>
      </c>
      <c r="G272" s="33">
        <f>+G273+G284+G291+G296+G303+G312+G315</f>
        <v>92380</v>
      </c>
      <c r="H272" s="33">
        <f t="shared" ref="H272:O272" si="122">+H273+H284+H291+H296+H303+H312+H315</f>
        <v>184760</v>
      </c>
      <c r="I272" s="33">
        <f t="shared" si="122"/>
        <v>277140</v>
      </c>
      <c r="J272" s="33">
        <f t="shared" si="122"/>
        <v>92380</v>
      </c>
      <c r="K272" s="33">
        <f t="shared" si="122"/>
        <v>92380</v>
      </c>
      <c r="L272" s="33">
        <f t="shared" si="122"/>
        <v>0</v>
      </c>
      <c r="M272" s="33">
        <f t="shared" si="122"/>
        <v>17260320</v>
      </c>
      <c r="N272" s="33">
        <f t="shared" si="122"/>
        <v>17999360</v>
      </c>
      <c r="O272" s="33">
        <f t="shared" si="122"/>
        <v>3.834509140686599</v>
      </c>
    </row>
    <row r="273" spans="1:15" ht="12.75" x14ac:dyDescent="0.2">
      <c r="A273" s="319">
        <v>2</v>
      </c>
      <c r="B273" s="320">
        <v>6</v>
      </c>
      <c r="C273" s="320">
        <v>1</v>
      </c>
      <c r="D273" s="320"/>
      <c r="E273" s="320"/>
      <c r="F273" s="321" t="s">
        <v>818</v>
      </c>
      <c r="G273" s="32">
        <f>+G274+G276+G278+G280+G282</f>
        <v>0</v>
      </c>
      <c r="H273" s="32">
        <f t="shared" ref="H273:O273" si="123">+H274+H276+H278+H280+H282</f>
        <v>0</v>
      </c>
      <c r="I273" s="32">
        <f t="shared" si="123"/>
        <v>0</v>
      </c>
      <c r="J273" s="32">
        <f t="shared" si="123"/>
        <v>0</v>
      </c>
      <c r="K273" s="32">
        <f t="shared" si="123"/>
        <v>0</v>
      </c>
      <c r="L273" s="32">
        <f t="shared" si="123"/>
        <v>0</v>
      </c>
      <c r="M273" s="32">
        <f t="shared" si="123"/>
        <v>1479500</v>
      </c>
      <c r="N273" s="32">
        <f t="shared" si="123"/>
        <v>1479500</v>
      </c>
      <c r="O273" s="32">
        <f t="shared" si="123"/>
        <v>0.31518655516895178</v>
      </c>
    </row>
    <row r="274" spans="1:15" ht="12.75" x14ac:dyDescent="0.2">
      <c r="A274" s="322">
        <v>2</v>
      </c>
      <c r="B274" s="323">
        <v>6</v>
      </c>
      <c r="C274" s="323">
        <v>1</v>
      </c>
      <c r="D274" s="323">
        <v>1</v>
      </c>
      <c r="E274" s="323"/>
      <c r="F274" s="331" t="s">
        <v>819</v>
      </c>
      <c r="G274" s="29">
        <f>+G275</f>
        <v>0</v>
      </c>
      <c r="H274" s="29">
        <f t="shared" ref="H274:O274" si="124">+H275</f>
        <v>0</v>
      </c>
      <c r="I274" s="29">
        <f t="shared" si="124"/>
        <v>0</v>
      </c>
      <c r="J274" s="29">
        <f t="shared" si="124"/>
        <v>0</v>
      </c>
      <c r="K274" s="29">
        <f t="shared" si="124"/>
        <v>0</v>
      </c>
      <c r="L274" s="29">
        <f t="shared" si="124"/>
        <v>0</v>
      </c>
      <c r="M274" s="29">
        <f t="shared" si="124"/>
        <v>350000</v>
      </c>
      <c r="N274" s="29">
        <f t="shared" si="124"/>
        <v>350000</v>
      </c>
      <c r="O274" s="54">
        <f t="shared" si="124"/>
        <v>7.4562551070721947E-2</v>
      </c>
    </row>
    <row r="275" spans="1:15" ht="12.75" x14ac:dyDescent="0.2">
      <c r="A275" s="325">
        <v>2</v>
      </c>
      <c r="B275" s="326">
        <v>6</v>
      </c>
      <c r="C275" s="326">
        <v>1</v>
      </c>
      <c r="D275" s="326">
        <v>1</v>
      </c>
      <c r="E275" s="326" t="s">
        <v>610</v>
      </c>
      <c r="F275" s="327" t="s">
        <v>819</v>
      </c>
      <c r="G275" s="27"/>
      <c r="H275" s="27"/>
      <c r="I275" s="27"/>
      <c r="J275" s="27"/>
      <c r="K275" s="27"/>
      <c r="L275" s="27"/>
      <c r="M275" s="27">
        <v>350000</v>
      </c>
      <c r="N275" s="343">
        <f>SUBTOTAL(9,G275:M275)</f>
        <v>350000</v>
      </c>
      <c r="O275" s="346">
        <f t="shared" ref="O275:O283" si="125">IFERROR(N275/$N$18*100,"0.00")</f>
        <v>7.4562551070721947E-2</v>
      </c>
    </row>
    <row r="276" spans="1:15" ht="12.75" x14ac:dyDescent="0.2">
      <c r="A276" s="322">
        <v>2</v>
      </c>
      <c r="B276" s="323">
        <v>6</v>
      </c>
      <c r="C276" s="323">
        <v>1</v>
      </c>
      <c r="D276" s="323">
        <v>2</v>
      </c>
      <c r="E276" s="323"/>
      <c r="F276" s="331" t="s">
        <v>820</v>
      </c>
      <c r="G276" s="29">
        <f>+G277</f>
        <v>0</v>
      </c>
      <c r="H276" s="29">
        <f t="shared" ref="H276:M276" si="126">+H277</f>
        <v>0</v>
      </c>
      <c r="I276" s="29">
        <f t="shared" si="126"/>
        <v>0</v>
      </c>
      <c r="J276" s="29">
        <f t="shared" si="126"/>
        <v>0</v>
      </c>
      <c r="K276" s="29">
        <f t="shared" si="126"/>
        <v>0</v>
      </c>
      <c r="L276" s="29">
        <f t="shared" si="126"/>
        <v>0</v>
      </c>
      <c r="M276" s="29">
        <f t="shared" si="126"/>
        <v>483500</v>
      </c>
      <c r="N276" s="29">
        <f>+N277</f>
        <v>483500</v>
      </c>
      <c r="O276" s="54">
        <f>+O277</f>
        <v>0.10300283840769731</v>
      </c>
    </row>
    <row r="277" spans="1:15" ht="12.75" x14ac:dyDescent="0.2">
      <c r="A277" s="325">
        <v>2</v>
      </c>
      <c r="B277" s="326">
        <v>6</v>
      </c>
      <c r="C277" s="326">
        <v>1</v>
      </c>
      <c r="D277" s="326">
        <v>2</v>
      </c>
      <c r="E277" s="326" t="s">
        <v>610</v>
      </c>
      <c r="F277" s="330" t="s">
        <v>820</v>
      </c>
      <c r="G277" s="27"/>
      <c r="H277" s="27"/>
      <c r="I277" s="27"/>
      <c r="J277" s="27"/>
      <c r="K277" s="27"/>
      <c r="L277" s="27"/>
      <c r="M277" s="27">
        <v>483500</v>
      </c>
      <c r="N277" s="343">
        <f>SUBTOTAL(9,G277:M277)</f>
        <v>483500</v>
      </c>
      <c r="O277" s="346">
        <f t="shared" si="125"/>
        <v>0.10300283840769731</v>
      </c>
    </row>
    <row r="278" spans="1:15" ht="12.75" x14ac:dyDescent="0.2">
      <c r="A278" s="322">
        <v>2</v>
      </c>
      <c r="B278" s="323">
        <v>6</v>
      </c>
      <c r="C278" s="323">
        <v>1</v>
      </c>
      <c r="D278" s="323">
        <v>3</v>
      </c>
      <c r="E278" s="323"/>
      <c r="F278" s="339" t="s">
        <v>821</v>
      </c>
      <c r="G278" s="29">
        <f>+G279</f>
        <v>0</v>
      </c>
      <c r="H278" s="29">
        <f t="shared" ref="H278:O278" si="127">+H279</f>
        <v>0</v>
      </c>
      <c r="I278" s="29">
        <f t="shared" si="127"/>
        <v>0</v>
      </c>
      <c r="J278" s="29">
        <f t="shared" si="127"/>
        <v>0</v>
      </c>
      <c r="K278" s="29">
        <f t="shared" si="127"/>
        <v>0</v>
      </c>
      <c r="L278" s="29">
        <f t="shared" si="127"/>
        <v>0</v>
      </c>
      <c r="M278" s="29">
        <f t="shared" si="127"/>
        <v>646000</v>
      </c>
      <c r="N278" s="29">
        <f t="shared" si="127"/>
        <v>646000</v>
      </c>
      <c r="O278" s="54">
        <f t="shared" si="127"/>
        <v>0.13762116569053251</v>
      </c>
    </row>
    <row r="279" spans="1:15" ht="12.75" x14ac:dyDescent="0.2">
      <c r="A279" s="325">
        <v>2</v>
      </c>
      <c r="B279" s="326">
        <v>6</v>
      </c>
      <c r="C279" s="326">
        <v>1</v>
      </c>
      <c r="D279" s="326">
        <v>3</v>
      </c>
      <c r="E279" s="326" t="s">
        <v>610</v>
      </c>
      <c r="F279" s="330" t="s">
        <v>821</v>
      </c>
      <c r="G279" s="27"/>
      <c r="H279" s="27"/>
      <c r="I279" s="27"/>
      <c r="J279" s="27"/>
      <c r="K279" s="27"/>
      <c r="L279" s="27"/>
      <c r="M279" s="27">
        <v>646000</v>
      </c>
      <c r="N279" s="343">
        <f>SUBTOTAL(9,G279:M279)</f>
        <v>646000</v>
      </c>
      <c r="O279" s="346">
        <f t="shared" si="125"/>
        <v>0.13762116569053251</v>
      </c>
    </row>
    <row r="280" spans="1:15" ht="12.75" x14ac:dyDescent="0.2">
      <c r="A280" s="322">
        <v>2</v>
      </c>
      <c r="B280" s="323">
        <v>6</v>
      </c>
      <c r="C280" s="323">
        <v>1</v>
      </c>
      <c r="D280" s="323">
        <v>4</v>
      </c>
      <c r="E280" s="323"/>
      <c r="F280" s="331" t="s">
        <v>822</v>
      </c>
      <c r="G280" s="29">
        <f>+G281</f>
        <v>0</v>
      </c>
      <c r="H280" s="29">
        <f t="shared" ref="H280:O280" si="128">+H281</f>
        <v>0</v>
      </c>
      <c r="I280" s="29">
        <f t="shared" si="128"/>
        <v>0</v>
      </c>
      <c r="J280" s="29">
        <f t="shared" si="128"/>
        <v>0</v>
      </c>
      <c r="K280" s="29">
        <f t="shared" si="128"/>
        <v>0</v>
      </c>
      <c r="L280" s="29">
        <f t="shared" si="128"/>
        <v>0</v>
      </c>
      <c r="M280" s="29">
        <f t="shared" si="128"/>
        <v>0</v>
      </c>
      <c r="N280" s="29">
        <f t="shared" si="128"/>
        <v>0</v>
      </c>
      <c r="O280" s="54">
        <f t="shared" si="128"/>
        <v>0</v>
      </c>
    </row>
    <row r="281" spans="1:15" ht="12.75" x14ac:dyDescent="0.2">
      <c r="A281" s="325">
        <v>2</v>
      </c>
      <c r="B281" s="326">
        <v>6</v>
      </c>
      <c r="C281" s="326">
        <v>1</v>
      </c>
      <c r="D281" s="326">
        <v>4</v>
      </c>
      <c r="E281" s="326" t="s">
        <v>610</v>
      </c>
      <c r="F281" s="330" t="s">
        <v>822</v>
      </c>
      <c r="G281" s="27"/>
      <c r="H281" s="27"/>
      <c r="I281" s="27"/>
      <c r="J281" s="27"/>
      <c r="K281" s="27"/>
      <c r="L281" s="27"/>
      <c r="M281" s="27"/>
      <c r="N281" s="343">
        <f t="shared" ref="N281:N286" si="129">SUBTOTAL(9,G281:M281)</f>
        <v>0</v>
      </c>
      <c r="O281" s="346">
        <f t="shared" si="125"/>
        <v>0</v>
      </c>
    </row>
    <row r="282" spans="1:15" ht="12.75" x14ac:dyDescent="0.2">
      <c r="A282" s="322">
        <v>2</v>
      </c>
      <c r="B282" s="323">
        <v>6</v>
      </c>
      <c r="C282" s="323">
        <v>1</v>
      </c>
      <c r="D282" s="323">
        <v>9</v>
      </c>
      <c r="E282" s="323"/>
      <c r="F282" s="331" t="s">
        <v>823</v>
      </c>
      <c r="G282" s="29">
        <f>+G283</f>
        <v>0</v>
      </c>
      <c r="H282" s="29">
        <f t="shared" ref="H282:O282" si="130">+H283</f>
        <v>0</v>
      </c>
      <c r="I282" s="29">
        <f t="shared" si="130"/>
        <v>0</v>
      </c>
      <c r="J282" s="29">
        <f t="shared" si="130"/>
        <v>0</v>
      </c>
      <c r="K282" s="29">
        <f t="shared" si="130"/>
        <v>0</v>
      </c>
      <c r="L282" s="29">
        <f t="shared" si="130"/>
        <v>0</v>
      </c>
      <c r="M282" s="29">
        <f t="shared" si="130"/>
        <v>0</v>
      </c>
      <c r="N282" s="29">
        <f t="shared" si="130"/>
        <v>0</v>
      </c>
      <c r="O282" s="54">
        <f t="shared" si="130"/>
        <v>0</v>
      </c>
    </row>
    <row r="283" spans="1:15" ht="12.75" x14ac:dyDescent="0.2">
      <c r="A283" s="325">
        <v>2</v>
      </c>
      <c r="B283" s="326">
        <v>6</v>
      </c>
      <c r="C283" s="326">
        <v>1</v>
      </c>
      <c r="D283" s="326">
        <v>9</v>
      </c>
      <c r="E283" s="326" t="s">
        <v>610</v>
      </c>
      <c r="F283" s="330" t="s">
        <v>823</v>
      </c>
      <c r="G283" s="27"/>
      <c r="H283" s="27"/>
      <c r="I283" s="27"/>
      <c r="J283" s="27"/>
      <c r="K283" s="27"/>
      <c r="L283" s="27"/>
      <c r="M283" s="27"/>
      <c r="N283" s="343">
        <f t="shared" si="129"/>
        <v>0</v>
      </c>
      <c r="O283" s="346">
        <f t="shared" si="125"/>
        <v>0</v>
      </c>
    </row>
    <row r="284" spans="1:15" ht="12.75" x14ac:dyDescent="0.2">
      <c r="A284" s="319">
        <v>2</v>
      </c>
      <c r="B284" s="320">
        <v>6</v>
      </c>
      <c r="C284" s="320">
        <v>2</v>
      </c>
      <c r="D284" s="320"/>
      <c r="E284" s="320"/>
      <c r="F284" s="321" t="s">
        <v>824</v>
      </c>
      <c r="G284" s="32">
        <f>+G285+G287+G289</f>
        <v>0</v>
      </c>
      <c r="H284" s="32">
        <f t="shared" ref="H284:O284" si="131">+H285+H287+H289</f>
        <v>0</v>
      </c>
      <c r="I284" s="32">
        <f t="shared" si="131"/>
        <v>0</v>
      </c>
      <c r="J284" s="32">
        <f t="shared" si="131"/>
        <v>0</v>
      </c>
      <c r="K284" s="32">
        <f t="shared" si="131"/>
        <v>0</v>
      </c>
      <c r="L284" s="32">
        <f t="shared" si="131"/>
        <v>0</v>
      </c>
      <c r="M284" s="32">
        <f>+M285+M287+M289</f>
        <v>10414545</v>
      </c>
      <c r="N284" s="32">
        <f t="shared" si="131"/>
        <v>10414545</v>
      </c>
      <c r="O284" s="32">
        <f t="shared" si="131"/>
        <v>2.2186715526880909</v>
      </c>
    </row>
    <row r="285" spans="1:15" ht="12.75" x14ac:dyDescent="0.2">
      <c r="A285" s="322">
        <v>2</v>
      </c>
      <c r="B285" s="323">
        <v>6</v>
      </c>
      <c r="C285" s="323">
        <v>2</v>
      </c>
      <c r="D285" s="323">
        <v>1</v>
      </c>
      <c r="E285" s="323"/>
      <c r="F285" s="331" t="s">
        <v>825</v>
      </c>
      <c r="G285" s="29">
        <f>+G286</f>
        <v>0</v>
      </c>
      <c r="H285" s="29">
        <f t="shared" ref="H285:O285" si="132">+H286</f>
        <v>0</v>
      </c>
      <c r="I285" s="29">
        <f t="shared" si="132"/>
        <v>0</v>
      </c>
      <c r="J285" s="29">
        <f t="shared" si="132"/>
        <v>0</v>
      </c>
      <c r="K285" s="29">
        <f t="shared" si="132"/>
        <v>0</v>
      </c>
      <c r="L285" s="29">
        <f t="shared" si="132"/>
        <v>0</v>
      </c>
      <c r="M285" s="29">
        <f t="shared" si="132"/>
        <v>0</v>
      </c>
      <c r="N285" s="29">
        <f t="shared" si="132"/>
        <v>0</v>
      </c>
      <c r="O285" s="54">
        <f t="shared" si="132"/>
        <v>0</v>
      </c>
    </row>
    <row r="286" spans="1:15" ht="12.75" x14ac:dyDescent="0.2">
      <c r="A286" s="332">
        <v>2</v>
      </c>
      <c r="B286" s="326">
        <v>6</v>
      </c>
      <c r="C286" s="326">
        <v>2</v>
      </c>
      <c r="D286" s="326">
        <v>1</v>
      </c>
      <c r="E286" s="326" t="s">
        <v>610</v>
      </c>
      <c r="F286" s="330" t="s">
        <v>825</v>
      </c>
      <c r="G286" s="27"/>
      <c r="H286" s="27"/>
      <c r="I286" s="27"/>
      <c r="J286" s="27"/>
      <c r="K286" s="27"/>
      <c r="L286" s="27"/>
      <c r="M286" s="27"/>
      <c r="N286" s="343">
        <f t="shared" si="129"/>
        <v>0</v>
      </c>
      <c r="O286" s="346">
        <f>IFERROR(N286/$N$18*100,"0.00")</f>
        <v>0</v>
      </c>
    </row>
    <row r="287" spans="1:15" ht="12.75" x14ac:dyDescent="0.2">
      <c r="A287" s="322">
        <v>2</v>
      </c>
      <c r="B287" s="323">
        <v>6</v>
      </c>
      <c r="C287" s="323">
        <v>2</v>
      </c>
      <c r="D287" s="323">
        <v>3</v>
      </c>
      <c r="E287" s="323"/>
      <c r="F287" s="331" t="s">
        <v>826</v>
      </c>
      <c r="G287" s="29">
        <f>+G288</f>
        <v>0</v>
      </c>
      <c r="H287" s="29">
        <f t="shared" ref="H287:N287" si="133">+H288+H289+H290+H291+H292+H293+H294</f>
        <v>0</v>
      </c>
      <c r="I287" s="29">
        <f t="shared" si="133"/>
        <v>0</v>
      </c>
      <c r="J287" s="29">
        <f t="shared" si="133"/>
        <v>0</v>
      </c>
      <c r="K287" s="29">
        <f t="shared" si="133"/>
        <v>0</v>
      </c>
      <c r="L287" s="29">
        <f t="shared" si="133"/>
        <v>0</v>
      </c>
      <c r="M287" s="29">
        <f t="shared" si="133"/>
        <v>10414545</v>
      </c>
      <c r="N287" s="29">
        <f t="shared" si="133"/>
        <v>10414545</v>
      </c>
      <c r="O287" s="54">
        <f>+O288+O289+O290+O291+O292+O293+O294</f>
        <v>2.2186715526880909</v>
      </c>
    </row>
    <row r="288" spans="1:15" ht="12.75" x14ac:dyDescent="0.2">
      <c r="A288" s="332">
        <v>2</v>
      </c>
      <c r="B288" s="326">
        <v>6</v>
      </c>
      <c r="C288" s="326">
        <v>2</v>
      </c>
      <c r="D288" s="326">
        <v>3</v>
      </c>
      <c r="E288" s="326" t="s">
        <v>610</v>
      </c>
      <c r="F288" s="330" t="s">
        <v>826</v>
      </c>
      <c r="G288" s="27"/>
      <c r="H288" s="27"/>
      <c r="I288" s="27"/>
      <c r="J288" s="27"/>
      <c r="K288" s="27"/>
      <c r="L288" s="27"/>
      <c r="M288" s="27"/>
      <c r="N288" s="343">
        <f t="shared" ref="N288:N295" si="134">SUBTOTAL(9,G288:M288)</f>
        <v>0</v>
      </c>
      <c r="O288" s="346">
        <f t="shared" ref="O288:O295" si="135">IFERROR(N288/$N$18*100,"0.00")</f>
        <v>0</v>
      </c>
    </row>
    <row r="289" spans="1:15" ht="12.75" x14ac:dyDescent="0.2">
      <c r="A289" s="322">
        <v>2</v>
      </c>
      <c r="B289" s="323">
        <v>6</v>
      </c>
      <c r="C289" s="323">
        <v>2</v>
      </c>
      <c r="D289" s="323">
        <v>4</v>
      </c>
      <c r="E289" s="323"/>
      <c r="F289" s="331" t="s">
        <v>827</v>
      </c>
      <c r="G289" s="29">
        <f>+G290</f>
        <v>0</v>
      </c>
      <c r="H289" s="29">
        <f t="shared" ref="H289:O289" si="136">+H290</f>
        <v>0</v>
      </c>
      <c r="I289" s="29">
        <f t="shared" si="136"/>
        <v>0</v>
      </c>
      <c r="J289" s="29">
        <f t="shared" si="136"/>
        <v>0</v>
      </c>
      <c r="K289" s="29">
        <f t="shared" si="136"/>
        <v>0</v>
      </c>
      <c r="L289" s="29">
        <f t="shared" si="136"/>
        <v>0</v>
      </c>
      <c r="M289" s="29">
        <f t="shared" si="136"/>
        <v>0</v>
      </c>
      <c r="N289" s="29">
        <f t="shared" si="136"/>
        <v>0</v>
      </c>
      <c r="O289" s="54">
        <f t="shared" si="136"/>
        <v>0</v>
      </c>
    </row>
    <row r="290" spans="1:15" ht="12.75" x14ac:dyDescent="0.2">
      <c r="A290" s="332">
        <v>2</v>
      </c>
      <c r="B290" s="326">
        <v>6</v>
      </c>
      <c r="C290" s="326">
        <v>2</v>
      </c>
      <c r="D290" s="326">
        <v>4</v>
      </c>
      <c r="E290" s="326" t="s">
        <v>610</v>
      </c>
      <c r="F290" s="327" t="s">
        <v>827</v>
      </c>
      <c r="G290" s="27"/>
      <c r="H290" s="27"/>
      <c r="I290" s="27"/>
      <c r="J290" s="27"/>
      <c r="K290" s="27"/>
      <c r="L290" s="27"/>
      <c r="M290" s="27"/>
      <c r="N290" s="343">
        <f t="shared" si="134"/>
        <v>0</v>
      </c>
      <c r="O290" s="346">
        <f t="shared" si="135"/>
        <v>0</v>
      </c>
    </row>
    <row r="291" spans="1:15" ht="12.75" x14ac:dyDescent="0.2">
      <c r="A291" s="319">
        <v>2</v>
      </c>
      <c r="B291" s="320">
        <v>6</v>
      </c>
      <c r="C291" s="320">
        <v>3</v>
      </c>
      <c r="D291" s="320"/>
      <c r="E291" s="320"/>
      <c r="F291" s="321" t="s">
        <v>828</v>
      </c>
      <c r="G291" s="32">
        <f>+G292+G294</f>
        <v>0</v>
      </c>
      <c r="H291" s="32">
        <f t="shared" ref="H291:O291" si="137">+H292+H294</f>
        <v>0</v>
      </c>
      <c r="I291" s="32">
        <f t="shared" si="137"/>
        <v>0</v>
      </c>
      <c r="J291" s="32">
        <f t="shared" si="137"/>
        <v>0</v>
      </c>
      <c r="K291" s="32">
        <f t="shared" si="137"/>
        <v>0</v>
      </c>
      <c r="L291" s="32">
        <f t="shared" si="137"/>
        <v>0</v>
      </c>
      <c r="M291" s="32">
        <f t="shared" si="137"/>
        <v>3471515</v>
      </c>
      <c r="N291" s="32">
        <f t="shared" si="137"/>
        <v>3471515</v>
      </c>
      <c r="O291" s="32">
        <f t="shared" si="137"/>
        <v>0.73955718422936367</v>
      </c>
    </row>
    <row r="292" spans="1:15" ht="12.75" x14ac:dyDescent="0.2">
      <c r="A292" s="334">
        <v>2</v>
      </c>
      <c r="B292" s="323">
        <v>6</v>
      </c>
      <c r="C292" s="323">
        <v>3</v>
      </c>
      <c r="D292" s="323">
        <v>1</v>
      </c>
      <c r="E292" s="323"/>
      <c r="F292" s="339" t="s">
        <v>829</v>
      </c>
      <c r="G292" s="29">
        <f>+G293</f>
        <v>0</v>
      </c>
      <c r="H292" s="29">
        <f t="shared" ref="H292:O292" si="138">+H293</f>
        <v>0</v>
      </c>
      <c r="I292" s="29">
        <f t="shared" si="138"/>
        <v>0</v>
      </c>
      <c r="J292" s="29">
        <f t="shared" si="138"/>
        <v>0</v>
      </c>
      <c r="K292" s="29">
        <f t="shared" si="138"/>
        <v>0</v>
      </c>
      <c r="L292" s="29">
        <f t="shared" si="138"/>
        <v>0</v>
      </c>
      <c r="M292" s="29">
        <f t="shared" si="138"/>
        <v>3471515</v>
      </c>
      <c r="N292" s="29">
        <f t="shared" si="138"/>
        <v>3471515</v>
      </c>
      <c r="O292" s="54">
        <f t="shared" si="138"/>
        <v>0.73955718422936367</v>
      </c>
    </row>
    <row r="293" spans="1:15" ht="12.75" x14ac:dyDescent="0.2">
      <c r="A293" s="325">
        <v>2</v>
      </c>
      <c r="B293" s="326">
        <v>6</v>
      </c>
      <c r="C293" s="326">
        <v>3</v>
      </c>
      <c r="D293" s="326">
        <v>1</v>
      </c>
      <c r="E293" s="326" t="s">
        <v>610</v>
      </c>
      <c r="F293" s="327" t="s">
        <v>829</v>
      </c>
      <c r="G293" s="27"/>
      <c r="H293" s="27"/>
      <c r="I293" s="27"/>
      <c r="J293" s="27"/>
      <c r="K293" s="27"/>
      <c r="L293" s="27"/>
      <c r="M293" s="27">
        <v>3471515</v>
      </c>
      <c r="N293" s="343">
        <f t="shared" si="134"/>
        <v>3471515</v>
      </c>
      <c r="O293" s="346">
        <f t="shared" si="135"/>
        <v>0.73955718422936367</v>
      </c>
    </row>
    <row r="294" spans="1:15" ht="12.75" x14ac:dyDescent="0.2">
      <c r="A294" s="322">
        <v>2</v>
      </c>
      <c r="B294" s="323">
        <v>6</v>
      </c>
      <c r="C294" s="323">
        <v>3</v>
      </c>
      <c r="D294" s="323">
        <v>2</v>
      </c>
      <c r="E294" s="323"/>
      <c r="F294" s="331" t="s">
        <v>830</v>
      </c>
      <c r="G294" s="29">
        <f>+G295</f>
        <v>0</v>
      </c>
      <c r="H294" s="29">
        <f t="shared" ref="H294:O294" si="139">+H295</f>
        <v>0</v>
      </c>
      <c r="I294" s="29">
        <f t="shared" si="139"/>
        <v>0</v>
      </c>
      <c r="J294" s="29">
        <f t="shared" si="139"/>
        <v>0</v>
      </c>
      <c r="K294" s="29">
        <f t="shared" si="139"/>
        <v>0</v>
      </c>
      <c r="L294" s="29">
        <f t="shared" si="139"/>
        <v>0</v>
      </c>
      <c r="M294" s="29">
        <f t="shared" si="139"/>
        <v>0</v>
      </c>
      <c r="N294" s="29">
        <f t="shared" si="139"/>
        <v>0</v>
      </c>
      <c r="O294" s="54">
        <f t="shared" si="139"/>
        <v>0</v>
      </c>
    </row>
    <row r="295" spans="1:15" ht="12.75" x14ac:dyDescent="0.2">
      <c r="A295" s="332">
        <v>2</v>
      </c>
      <c r="B295" s="326">
        <v>6</v>
      </c>
      <c r="C295" s="326">
        <v>3</v>
      </c>
      <c r="D295" s="326">
        <v>2</v>
      </c>
      <c r="E295" s="326" t="s">
        <v>610</v>
      </c>
      <c r="F295" s="330" t="s">
        <v>830</v>
      </c>
      <c r="G295" s="27"/>
      <c r="H295" s="27"/>
      <c r="I295" s="27"/>
      <c r="J295" s="27"/>
      <c r="K295" s="27"/>
      <c r="L295" s="27"/>
      <c r="M295" s="27"/>
      <c r="N295" s="343">
        <f t="shared" si="134"/>
        <v>0</v>
      </c>
      <c r="O295" s="346">
        <f t="shared" si="135"/>
        <v>0</v>
      </c>
    </row>
    <row r="296" spans="1:15" ht="12.75" x14ac:dyDescent="0.2">
      <c r="A296" s="319">
        <v>2</v>
      </c>
      <c r="B296" s="320">
        <v>6</v>
      </c>
      <c r="C296" s="320">
        <v>4</v>
      </c>
      <c r="D296" s="320"/>
      <c r="E296" s="320"/>
      <c r="F296" s="321" t="s">
        <v>831</v>
      </c>
      <c r="G296" s="32">
        <f>+G297+G299+G301</f>
        <v>0</v>
      </c>
      <c r="H296" s="32">
        <f t="shared" ref="H296:O296" si="140">+H297+H299+H301</f>
        <v>0</v>
      </c>
      <c r="I296" s="32">
        <f t="shared" si="140"/>
        <v>0</v>
      </c>
      <c r="J296" s="32">
        <f t="shared" si="140"/>
        <v>0</v>
      </c>
      <c r="K296" s="32">
        <f t="shared" si="140"/>
        <v>0</v>
      </c>
      <c r="L296" s="32">
        <f t="shared" si="140"/>
        <v>0</v>
      </c>
      <c r="M296" s="32">
        <f t="shared" si="140"/>
        <v>100000</v>
      </c>
      <c r="N296" s="32">
        <f t="shared" si="140"/>
        <v>100000</v>
      </c>
      <c r="O296" s="32">
        <f t="shared" si="140"/>
        <v>2.130358602020627E-2</v>
      </c>
    </row>
    <row r="297" spans="1:15" ht="12.75" x14ac:dyDescent="0.2">
      <c r="A297" s="322">
        <v>2</v>
      </c>
      <c r="B297" s="323">
        <v>6</v>
      </c>
      <c r="C297" s="323">
        <v>4</v>
      </c>
      <c r="D297" s="323">
        <v>1</v>
      </c>
      <c r="E297" s="323"/>
      <c r="F297" s="331" t="s">
        <v>832</v>
      </c>
      <c r="G297" s="29">
        <f t="shared" ref="G297:O297" si="141">+G298</f>
        <v>0</v>
      </c>
      <c r="H297" s="29">
        <f t="shared" si="141"/>
        <v>0</v>
      </c>
      <c r="I297" s="29">
        <f t="shared" si="141"/>
        <v>0</v>
      </c>
      <c r="J297" s="29">
        <f t="shared" si="141"/>
        <v>0</v>
      </c>
      <c r="K297" s="29">
        <f t="shared" si="141"/>
        <v>0</v>
      </c>
      <c r="L297" s="29">
        <f t="shared" si="141"/>
        <v>0</v>
      </c>
      <c r="M297" s="29">
        <f t="shared" si="141"/>
        <v>0</v>
      </c>
      <c r="N297" s="29">
        <f t="shared" si="141"/>
        <v>0</v>
      </c>
      <c r="O297" s="54">
        <f t="shared" si="141"/>
        <v>0</v>
      </c>
    </row>
    <row r="298" spans="1:15" ht="12.75" x14ac:dyDescent="0.2">
      <c r="A298" s="332">
        <v>2</v>
      </c>
      <c r="B298" s="326">
        <v>6</v>
      </c>
      <c r="C298" s="326">
        <v>4</v>
      </c>
      <c r="D298" s="326">
        <v>1</v>
      </c>
      <c r="E298" s="326" t="s">
        <v>610</v>
      </c>
      <c r="F298" s="330" t="s">
        <v>832</v>
      </c>
      <c r="G298" s="27"/>
      <c r="H298" s="27"/>
      <c r="I298" s="27"/>
      <c r="J298" s="27"/>
      <c r="K298" s="27"/>
      <c r="L298" s="27"/>
      <c r="M298" s="27"/>
      <c r="N298" s="343">
        <f>SUBTOTAL(9,G298:M298)</f>
        <v>0</v>
      </c>
      <c r="O298" s="346">
        <f t="shared" ref="O298:O328" si="142">IFERROR(N298/$N$18*100,"0.00")</f>
        <v>0</v>
      </c>
    </row>
    <row r="299" spans="1:15" ht="12.75" x14ac:dyDescent="0.2">
      <c r="A299" s="322">
        <v>2</v>
      </c>
      <c r="B299" s="323">
        <v>6</v>
      </c>
      <c r="C299" s="323">
        <v>4</v>
      </c>
      <c r="D299" s="323">
        <v>2</v>
      </c>
      <c r="E299" s="323"/>
      <c r="F299" s="331" t="s">
        <v>833</v>
      </c>
      <c r="G299" s="29">
        <f>+G300</f>
        <v>0</v>
      </c>
      <c r="H299" s="29">
        <f t="shared" ref="H299:M299" si="143">+H300</f>
        <v>0</v>
      </c>
      <c r="I299" s="29">
        <f t="shared" si="143"/>
        <v>0</v>
      </c>
      <c r="J299" s="29">
        <f t="shared" si="143"/>
        <v>0</v>
      </c>
      <c r="K299" s="29">
        <f t="shared" si="143"/>
        <v>0</v>
      </c>
      <c r="L299" s="29">
        <f t="shared" si="143"/>
        <v>0</v>
      </c>
      <c r="M299" s="29">
        <f t="shared" si="143"/>
        <v>0</v>
      </c>
      <c r="N299" s="29">
        <f>+N300</f>
        <v>0</v>
      </c>
      <c r="O299" s="54">
        <f>+O300</f>
        <v>0</v>
      </c>
    </row>
    <row r="300" spans="1:15" ht="12.75" x14ac:dyDescent="0.2">
      <c r="A300" s="332">
        <v>2</v>
      </c>
      <c r="B300" s="326">
        <v>6</v>
      </c>
      <c r="C300" s="326">
        <v>4</v>
      </c>
      <c r="D300" s="326">
        <v>2</v>
      </c>
      <c r="E300" s="326" t="s">
        <v>610</v>
      </c>
      <c r="F300" s="330" t="s">
        <v>833</v>
      </c>
      <c r="G300" s="27"/>
      <c r="H300" s="27"/>
      <c r="I300" s="27"/>
      <c r="J300" s="27"/>
      <c r="K300" s="27"/>
      <c r="L300" s="27"/>
      <c r="M300" s="27"/>
      <c r="N300" s="343">
        <f>SUBTOTAL(9,G300:M300)</f>
        <v>0</v>
      </c>
      <c r="O300" s="346">
        <f t="shared" si="142"/>
        <v>0</v>
      </c>
    </row>
    <row r="301" spans="1:15" ht="12.75" x14ac:dyDescent="0.2">
      <c r="A301" s="322">
        <v>2</v>
      </c>
      <c r="B301" s="323">
        <v>6</v>
      </c>
      <c r="C301" s="323">
        <v>4</v>
      </c>
      <c r="D301" s="323">
        <v>8</v>
      </c>
      <c r="E301" s="323"/>
      <c r="F301" s="331" t="s">
        <v>834</v>
      </c>
      <c r="G301" s="29">
        <f>+G302</f>
        <v>0</v>
      </c>
      <c r="H301" s="29">
        <f t="shared" ref="H301:M301" si="144">+H302</f>
        <v>0</v>
      </c>
      <c r="I301" s="29">
        <f t="shared" si="144"/>
        <v>0</v>
      </c>
      <c r="J301" s="29">
        <f t="shared" si="144"/>
        <v>0</v>
      </c>
      <c r="K301" s="29">
        <f t="shared" si="144"/>
        <v>0</v>
      </c>
      <c r="L301" s="29">
        <f t="shared" si="144"/>
        <v>0</v>
      </c>
      <c r="M301" s="29">
        <f t="shared" si="144"/>
        <v>100000</v>
      </c>
      <c r="N301" s="29">
        <f>+N302</f>
        <v>100000</v>
      </c>
      <c r="O301" s="54">
        <f>+O302</f>
        <v>2.130358602020627E-2</v>
      </c>
    </row>
    <row r="302" spans="1:15" ht="12.75" x14ac:dyDescent="0.2">
      <c r="A302" s="332">
        <v>2</v>
      </c>
      <c r="B302" s="326">
        <v>6</v>
      </c>
      <c r="C302" s="326">
        <v>4</v>
      </c>
      <c r="D302" s="326">
        <v>8</v>
      </c>
      <c r="E302" s="326" t="s">
        <v>610</v>
      </c>
      <c r="F302" s="330" t="s">
        <v>834</v>
      </c>
      <c r="G302" s="27"/>
      <c r="H302" s="27"/>
      <c r="I302" s="27"/>
      <c r="J302" s="27"/>
      <c r="K302" s="27"/>
      <c r="L302" s="27"/>
      <c r="M302" s="27">
        <v>100000</v>
      </c>
      <c r="N302" s="343">
        <f>SUBTOTAL(9,G302:M302)</f>
        <v>100000</v>
      </c>
      <c r="O302" s="346">
        <f t="shared" si="142"/>
        <v>2.130358602020627E-2</v>
      </c>
    </row>
    <row r="303" spans="1:15" ht="12.75" x14ac:dyDescent="0.2">
      <c r="A303" s="319">
        <v>2</v>
      </c>
      <c r="B303" s="320">
        <v>6</v>
      </c>
      <c r="C303" s="320">
        <v>5</v>
      </c>
      <c r="D303" s="320"/>
      <c r="E303" s="320"/>
      <c r="F303" s="321" t="s">
        <v>835</v>
      </c>
      <c r="G303" s="32">
        <f>+G304+G306+G308+G310</f>
        <v>92380</v>
      </c>
      <c r="H303" s="32">
        <f t="shared" ref="H303:O303" si="145">+H304+H306+H308+H310</f>
        <v>184760</v>
      </c>
      <c r="I303" s="32">
        <f t="shared" si="145"/>
        <v>277140</v>
      </c>
      <c r="J303" s="32">
        <f t="shared" si="145"/>
        <v>92380</v>
      </c>
      <c r="K303" s="32">
        <f t="shared" si="145"/>
        <v>92380</v>
      </c>
      <c r="L303" s="32">
        <f t="shared" si="145"/>
        <v>0</v>
      </c>
      <c r="M303" s="32">
        <f t="shared" si="145"/>
        <v>834760</v>
      </c>
      <c r="N303" s="32">
        <f>+N304+N306+N308+N310</f>
        <v>1573800</v>
      </c>
      <c r="O303" s="32">
        <f t="shared" si="145"/>
        <v>0.33527583678600625</v>
      </c>
    </row>
    <row r="304" spans="1:15" ht="12.75" x14ac:dyDescent="0.2">
      <c r="A304" s="322">
        <v>2</v>
      </c>
      <c r="B304" s="323">
        <v>6</v>
      </c>
      <c r="C304" s="323">
        <v>5</v>
      </c>
      <c r="D304" s="323">
        <v>2</v>
      </c>
      <c r="E304" s="323"/>
      <c r="F304" s="331" t="s">
        <v>836</v>
      </c>
      <c r="G304" s="29">
        <f>+G305</f>
        <v>0</v>
      </c>
      <c r="H304" s="29">
        <f t="shared" ref="H304:O304" si="146">+H305</f>
        <v>0</v>
      </c>
      <c r="I304" s="29">
        <f t="shared" si="146"/>
        <v>0</v>
      </c>
      <c r="J304" s="29">
        <f t="shared" si="146"/>
        <v>0</v>
      </c>
      <c r="K304" s="29">
        <f t="shared" si="146"/>
        <v>0</v>
      </c>
      <c r="L304" s="29">
        <f t="shared" si="146"/>
        <v>0</v>
      </c>
      <c r="M304" s="29">
        <f t="shared" si="146"/>
        <v>0</v>
      </c>
      <c r="N304" s="29">
        <f>+N305</f>
        <v>0</v>
      </c>
      <c r="O304" s="54">
        <f t="shared" si="146"/>
        <v>0</v>
      </c>
    </row>
    <row r="305" spans="1:15" ht="12.75" x14ac:dyDescent="0.2">
      <c r="A305" s="325">
        <v>2</v>
      </c>
      <c r="B305" s="326">
        <v>6</v>
      </c>
      <c r="C305" s="326">
        <v>5</v>
      </c>
      <c r="D305" s="326">
        <v>2</v>
      </c>
      <c r="E305" s="326" t="s">
        <v>610</v>
      </c>
      <c r="F305" s="330" t="s">
        <v>836</v>
      </c>
      <c r="G305" s="27"/>
      <c r="H305" s="27"/>
      <c r="I305" s="27"/>
      <c r="J305" s="27"/>
      <c r="K305" s="27"/>
      <c r="L305" s="27"/>
      <c r="M305" s="27"/>
      <c r="N305" s="343">
        <f>SUBTOTAL(9,G305:M305)</f>
        <v>0</v>
      </c>
      <c r="O305" s="346">
        <f t="shared" si="142"/>
        <v>0</v>
      </c>
    </row>
    <row r="306" spans="1:15" ht="12.75" x14ac:dyDescent="0.2">
      <c r="A306" s="322">
        <v>2</v>
      </c>
      <c r="B306" s="323">
        <v>6</v>
      </c>
      <c r="C306" s="323">
        <v>5</v>
      </c>
      <c r="D306" s="323">
        <v>4</v>
      </c>
      <c r="E306" s="323"/>
      <c r="F306" s="331" t="s">
        <v>837</v>
      </c>
      <c r="G306" s="29">
        <f>+G307</f>
        <v>0</v>
      </c>
      <c r="H306" s="29">
        <f t="shared" ref="H306:O306" si="147">+H307</f>
        <v>0</v>
      </c>
      <c r="I306" s="29">
        <f t="shared" si="147"/>
        <v>0</v>
      </c>
      <c r="J306" s="29">
        <f t="shared" si="147"/>
        <v>0</v>
      </c>
      <c r="K306" s="29">
        <f t="shared" si="147"/>
        <v>0</v>
      </c>
      <c r="L306" s="29">
        <f t="shared" si="147"/>
        <v>0</v>
      </c>
      <c r="M306" s="29">
        <f t="shared" si="147"/>
        <v>650000</v>
      </c>
      <c r="N306" s="29">
        <f t="shared" si="147"/>
        <v>650000</v>
      </c>
      <c r="O306" s="54">
        <f t="shared" si="147"/>
        <v>0.13847330913134076</v>
      </c>
    </row>
    <row r="307" spans="1:15" ht="12.75" x14ac:dyDescent="0.2">
      <c r="A307" s="325">
        <v>2</v>
      </c>
      <c r="B307" s="326">
        <v>6</v>
      </c>
      <c r="C307" s="326">
        <v>5</v>
      </c>
      <c r="D307" s="326">
        <v>4</v>
      </c>
      <c r="E307" s="326" t="s">
        <v>610</v>
      </c>
      <c r="F307" s="330" t="s">
        <v>837</v>
      </c>
      <c r="G307" s="27"/>
      <c r="H307" s="27"/>
      <c r="I307" s="27"/>
      <c r="J307" s="27"/>
      <c r="K307" s="27"/>
      <c r="L307" s="27"/>
      <c r="M307" s="27">
        <v>650000</v>
      </c>
      <c r="N307" s="343">
        <f t="shared" ref="N307:N314" si="148">SUBTOTAL(9,G307:M307)</f>
        <v>650000</v>
      </c>
      <c r="O307" s="346">
        <f t="shared" si="142"/>
        <v>0.13847330913134076</v>
      </c>
    </row>
    <row r="308" spans="1:15" ht="12.75" x14ac:dyDescent="0.2">
      <c r="A308" s="322">
        <v>2</v>
      </c>
      <c r="B308" s="323">
        <v>6</v>
      </c>
      <c r="C308" s="323">
        <v>5</v>
      </c>
      <c r="D308" s="323">
        <v>5</v>
      </c>
      <c r="E308" s="323"/>
      <c r="F308" s="331" t="s">
        <v>838</v>
      </c>
      <c r="G308" s="29">
        <f>+G309</f>
        <v>0</v>
      </c>
      <c r="H308" s="29">
        <f t="shared" ref="H308:O308" si="149">+H309</f>
        <v>0</v>
      </c>
      <c r="I308" s="29">
        <f t="shared" si="149"/>
        <v>0</v>
      </c>
      <c r="J308" s="29">
        <f t="shared" si="149"/>
        <v>0</v>
      </c>
      <c r="K308" s="29">
        <f t="shared" si="149"/>
        <v>0</v>
      </c>
      <c r="L308" s="29">
        <f t="shared" si="149"/>
        <v>0</v>
      </c>
      <c r="M308" s="29">
        <f t="shared" si="149"/>
        <v>0</v>
      </c>
      <c r="N308" s="29">
        <f t="shared" si="149"/>
        <v>0</v>
      </c>
      <c r="O308" s="54">
        <f t="shared" si="149"/>
        <v>0</v>
      </c>
    </row>
    <row r="309" spans="1:15" ht="12.75" x14ac:dyDescent="0.2">
      <c r="A309" s="325">
        <v>2</v>
      </c>
      <c r="B309" s="326">
        <v>6</v>
      </c>
      <c r="C309" s="326">
        <v>5</v>
      </c>
      <c r="D309" s="326">
        <v>5</v>
      </c>
      <c r="E309" s="326" t="s">
        <v>610</v>
      </c>
      <c r="F309" s="330" t="s">
        <v>838</v>
      </c>
      <c r="G309" s="27"/>
      <c r="H309" s="27"/>
      <c r="I309" s="27"/>
      <c r="J309" s="27"/>
      <c r="K309" s="27"/>
      <c r="L309" s="27"/>
      <c r="M309" s="27"/>
      <c r="N309" s="343">
        <f t="shared" si="148"/>
        <v>0</v>
      </c>
      <c r="O309" s="346">
        <f t="shared" si="142"/>
        <v>0</v>
      </c>
    </row>
    <row r="310" spans="1:15" ht="12.75" x14ac:dyDescent="0.2">
      <c r="A310" s="322">
        <v>2</v>
      </c>
      <c r="B310" s="323">
        <v>6</v>
      </c>
      <c r="C310" s="323">
        <v>5</v>
      </c>
      <c r="D310" s="323">
        <v>6</v>
      </c>
      <c r="E310" s="323"/>
      <c r="F310" s="331" t="s">
        <v>839</v>
      </c>
      <c r="G310" s="29">
        <f>+G311</f>
        <v>92380</v>
      </c>
      <c r="H310" s="29">
        <f t="shared" ref="H310:O310" si="150">+H311</f>
        <v>184760</v>
      </c>
      <c r="I310" s="29">
        <f t="shared" si="150"/>
        <v>277140</v>
      </c>
      <c r="J310" s="29">
        <f t="shared" si="150"/>
        <v>92380</v>
      </c>
      <c r="K310" s="29">
        <f t="shared" si="150"/>
        <v>92380</v>
      </c>
      <c r="L310" s="29">
        <f t="shared" si="150"/>
        <v>0</v>
      </c>
      <c r="M310" s="29">
        <f t="shared" si="150"/>
        <v>184760</v>
      </c>
      <c r="N310" s="29">
        <f t="shared" si="150"/>
        <v>923800</v>
      </c>
      <c r="O310" s="54">
        <f t="shared" si="150"/>
        <v>0.19680252765466549</v>
      </c>
    </row>
    <row r="311" spans="1:15" ht="12.75" x14ac:dyDescent="0.2">
      <c r="A311" s="325">
        <v>2</v>
      </c>
      <c r="B311" s="326">
        <v>6</v>
      </c>
      <c r="C311" s="326">
        <v>5</v>
      </c>
      <c r="D311" s="326">
        <v>6</v>
      </c>
      <c r="E311" s="326" t="s">
        <v>610</v>
      </c>
      <c r="F311" s="330" t="s">
        <v>839</v>
      </c>
      <c r="G311" s="27">
        <v>92380</v>
      </c>
      <c r="H311" s="27">
        <v>184760</v>
      </c>
      <c r="I311" s="27">
        <v>277140</v>
      </c>
      <c r="J311" s="27">
        <v>92380</v>
      </c>
      <c r="K311" s="27">
        <v>92380</v>
      </c>
      <c r="L311" s="27"/>
      <c r="M311" s="27">
        <v>184760</v>
      </c>
      <c r="N311" s="343">
        <f t="shared" si="148"/>
        <v>923800</v>
      </c>
      <c r="O311" s="346">
        <f t="shared" si="142"/>
        <v>0.19680252765466549</v>
      </c>
    </row>
    <row r="312" spans="1:15" ht="12.75" x14ac:dyDescent="0.2">
      <c r="A312" s="319">
        <v>2</v>
      </c>
      <c r="B312" s="320">
        <v>6</v>
      </c>
      <c r="C312" s="320">
        <v>6</v>
      </c>
      <c r="D312" s="320"/>
      <c r="E312" s="320"/>
      <c r="F312" s="321" t="s">
        <v>840</v>
      </c>
      <c r="G312" s="32">
        <f t="shared" ref="G312:O313" si="151">+G313</f>
        <v>0</v>
      </c>
      <c r="H312" s="32">
        <f t="shared" si="151"/>
        <v>0</v>
      </c>
      <c r="I312" s="32">
        <f t="shared" si="151"/>
        <v>0</v>
      </c>
      <c r="J312" s="32">
        <f t="shared" si="151"/>
        <v>0</v>
      </c>
      <c r="K312" s="32">
        <f t="shared" si="151"/>
        <v>0</v>
      </c>
      <c r="L312" s="32">
        <f t="shared" si="151"/>
        <v>0</v>
      </c>
      <c r="M312" s="32">
        <f t="shared" si="151"/>
        <v>0</v>
      </c>
      <c r="N312" s="32">
        <f t="shared" si="151"/>
        <v>0</v>
      </c>
      <c r="O312" s="52">
        <f t="shared" si="151"/>
        <v>0</v>
      </c>
    </row>
    <row r="313" spans="1:15" ht="12.75" x14ac:dyDescent="0.2">
      <c r="A313" s="322">
        <v>2</v>
      </c>
      <c r="B313" s="323">
        <v>6</v>
      </c>
      <c r="C313" s="323">
        <v>6</v>
      </c>
      <c r="D313" s="323">
        <v>1</v>
      </c>
      <c r="E313" s="323"/>
      <c r="F313" s="339" t="s">
        <v>841</v>
      </c>
      <c r="G313" s="30">
        <f t="shared" si="151"/>
        <v>0</v>
      </c>
      <c r="H313" s="30">
        <f t="shared" si="151"/>
        <v>0</v>
      </c>
      <c r="I313" s="30">
        <f t="shared" si="151"/>
        <v>0</v>
      </c>
      <c r="J313" s="30">
        <f t="shared" si="151"/>
        <v>0</v>
      </c>
      <c r="K313" s="30">
        <f t="shared" si="151"/>
        <v>0</v>
      </c>
      <c r="L313" s="30">
        <f t="shared" si="151"/>
        <v>0</v>
      </c>
      <c r="M313" s="30">
        <f t="shared" si="151"/>
        <v>0</v>
      </c>
      <c r="N313" s="30">
        <f t="shared" si="151"/>
        <v>0</v>
      </c>
      <c r="O313" s="54">
        <f t="shared" si="151"/>
        <v>0</v>
      </c>
    </row>
    <row r="314" spans="1:15" ht="12.75" x14ac:dyDescent="0.2">
      <c r="A314" s="325">
        <v>2</v>
      </c>
      <c r="B314" s="326">
        <v>6</v>
      </c>
      <c r="C314" s="326">
        <v>6</v>
      </c>
      <c r="D314" s="326">
        <v>1</v>
      </c>
      <c r="E314" s="326" t="s">
        <v>610</v>
      </c>
      <c r="F314" s="330" t="s">
        <v>841</v>
      </c>
      <c r="G314" s="27"/>
      <c r="H314" s="27"/>
      <c r="I314" s="27"/>
      <c r="J314" s="27"/>
      <c r="K314" s="27"/>
      <c r="L314" s="27"/>
      <c r="M314" s="27"/>
      <c r="N314" s="344">
        <f t="shared" si="148"/>
        <v>0</v>
      </c>
      <c r="O314" s="346">
        <f t="shared" si="142"/>
        <v>0</v>
      </c>
    </row>
    <row r="315" spans="1:15" ht="12.75" x14ac:dyDescent="0.2">
      <c r="A315" s="319">
        <v>2</v>
      </c>
      <c r="B315" s="320">
        <v>6</v>
      </c>
      <c r="C315" s="320">
        <v>8</v>
      </c>
      <c r="D315" s="320"/>
      <c r="E315" s="320"/>
      <c r="F315" s="321" t="s">
        <v>842</v>
      </c>
      <c r="G315" s="32">
        <f>+G316+G319+G321+G323</f>
        <v>0</v>
      </c>
      <c r="H315" s="32">
        <f t="shared" ref="H315:O315" si="152">+H316+H319+H321+H323</f>
        <v>0</v>
      </c>
      <c r="I315" s="32">
        <f t="shared" si="152"/>
        <v>0</v>
      </c>
      <c r="J315" s="32">
        <f t="shared" si="152"/>
        <v>0</v>
      </c>
      <c r="K315" s="32">
        <f t="shared" si="152"/>
        <v>0</v>
      </c>
      <c r="L315" s="32">
        <f t="shared" si="152"/>
        <v>0</v>
      </c>
      <c r="M315" s="32">
        <f t="shared" si="152"/>
        <v>960000</v>
      </c>
      <c r="N315" s="32">
        <f>+N316+N319+N321+N323</f>
        <v>960000</v>
      </c>
      <c r="O315" s="32">
        <f t="shared" si="152"/>
        <v>0.20451442579398019</v>
      </c>
    </row>
    <row r="316" spans="1:15" ht="12.75" x14ac:dyDescent="0.2">
      <c r="A316" s="322">
        <v>2</v>
      </c>
      <c r="B316" s="323">
        <v>6</v>
      </c>
      <c r="C316" s="323">
        <v>8</v>
      </c>
      <c r="D316" s="323">
        <v>3</v>
      </c>
      <c r="E316" s="323"/>
      <c r="F316" s="331" t="s">
        <v>843</v>
      </c>
      <c r="G316" s="29">
        <f>+G317+G318</f>
        <v>0</v>
      </c>
      <c r="H316" s="29">
        <f t="shared" ref="H316:O316" si="153">+H317+H318</f>
        <v>0</v>
      </c>
      <c r="I316" s="29">
        <f t="shared" si="153"/>
        <v>0</v>
      </c>
      <c r="J316" s="29">
        <f t="shared" si="153"/>
        <v>0</v>
      </c>
      <c r="K316" s="29">
        <f t="shared" si="153"/>
        <v>0</v>
      </c>
      <c r="L316" s="29">
        <f t="shared" si="153"/>
        <v>0</v>
      </c>
      <c r="M316" s="29">
        <f t="shared" si="153"/>
        <v>0</v>
      </c>
      <c r="N316" s="29">
        <f t="shared" si="153"/>
        <v>0</v>
      </c>
      <c r="O316" s="54">
        <f t="shared" si="153"/>
        <v>0</v>
      </c>
    </row>
    <row r="317" spans="1:15" ht="12.75" x14ac:dyDescent="0.2">
      <c r="A317" s="332">
        <v>2</v>
      </c>
      <c r="B317" s="326">
        <v>6</v>
      </c>
      <c r="C317" s="326">
        <v>8</v>
      </c>
      <c r="D317" s="326">
        <v>3</v>
      </c>
      <c r="E317" s="326" t="s">
        <v>610</v>
      </c>
      <c r="F317" s="330" t="s">
        <v>844</v>
      </c>
      <c r="G317" s="27"/>
      <c r="H317" s="27"/>
      <c r="I317" s="27"/>
      <c r="J317" s="27"/>
      <c r="K317" s="27"/>
      <c r="L317" s="27"/>
      <c r="M317" s="27"/>
      <c r="N317" s="343">
        <f>SUBTOTAL(9,G317:M317)</f>
        <v>0</v>
      </c>
      <c r="O317" s="346">
        <f>IFERROR(N317/$N$18*100,"0.00")</f>
        <v>0</v>
      </c>
    </row>
    <row r="318" spans="1:15" ht="12.75" x14ac:dyDescent="0.2">
      <c r="A318" s="332">
        <v>2</v>
      </c>
      <c r="B318" s="326">
        <v>6</v>
      </c>
      <c r="C318" s="326">
        <v>8</v>
      </c>
      <c r="D318" s="326">
        <v>3</v>
      </c>
      <c r="E318" s="326" t="s">
        <v>612</v>
      </c>
      <c r="F318" s="330" t="s">
        <v>504</v>
      </c>
      <c r="G318" s="27"/>
      <c r="H318" s="27"/>
      <c r="I318" s="27"/>
      <c r="J318" s="27"/>
      <c r="K318" s="27"/>
      <c r="L318" s="27"/>
      <c r="M318" s="27"/>
      <c r="N318" s="343">
        <f>SUBTOTAL(9,G318:M318)</f>
        <v>0</v>
      </c>
      <c r="O318" s="346">
        <f t="shared" si="142"/>
        <v>0</v>
      </c>
    </row>
    <row r="319" spans="1:15" ht="12.75" x14ac:dyDescent="0.2">
      <c r="A319" s="322">
        <v>2</v>
      </c>
      <c r="B319" s="323">
        <v>6</v>
      </c>
      <c r="C319" s="323">
        <v>8</v>
      </c>
      <c r="D319" s="323">
        <v>5</v>
      </c>
      <c r="E319" s="323"/>
      <c r="F319" s="331" t="s">
        <v>845</v>
      </c>
      <c r="G319" s="29">
        <f>+G320</f>
        <v>0</v>
      </c>
      <c r="H319" s="29">
        <f t="shared" ref="H319:M319" si="154">+H320</f>
        <v>0</v>
      </c>
      <c r="I319" s="29">
        <f t="shared" si="154"/>
        <v>0</v>
      </c>
      <c r="J319" s="29">
        <f t="shared" si="154"/>
        <v>0</v>
      </c>
      <c r="K319" s="29">
        <f t="shared" si="154"/>
        <v>0</v>
      </c>
      <c r="L319" s="29">
        <f t="shared" si="154"/>
        <v>0</v>
      </c>
      <c r="M319" s="29">
        <f t="shared" si="154"/>
        <v>0</v>
      </c>
      <c r="N319" s="30">
        <f>+N320</f>
        <v>0</v>
      </c>
      <c r="O319" s="54">
        <f t="shared" si="142"/>
        <v>0</v>
      </c>
    </row>
    <row r="320" spans="1:15" ht="12.75" x14ac:dyDescent="0.2">
      <c r="A320" s="332">
        <v>2</v>
      </c>
      <c r="B320" s="326">
        <v>6</v>
      </c>
      <c r="C320" s="326">
        <v>8</v>
      </c>
      <c r="D320" s="326">
        <v>5</v>
      </c>
      <c r="E320" s="326" t="s">
        <v>610</v>
      </c>
      <c r="F320" s="330" t="s">
        <v>845</v>
      </c>
      <c r="G320" s="27"/>
      <c r="H320" s="27"/>
      <c r="I320" s="27"/>
      <c r="J320" s="27"/>
      <c r="K320" s="27"/>
      <c r="L320" s="27"/>
      <c r="M320" s="27"/>
      <c r="N320" s="344">
        <f>SUBTOTAL(9,G320:M320)</f>
        <v>0</v>
      </c>
      <c r="O320" s="346">
        <f t="shared" si="142"/>
        <v>0</v>
      </c>
    </row>
    <row r="321" spans="1:15" ht="12.75" x14ac:dyDescent="0.2">
      <c r="A321" s="322">
        <v>2</v>
      </c>
      <c r="B321" s="323">
        <v>6</v>
      </c>
      <c r="C321" s="323">
        <v>8</v>
      </c>
      <c r="D321" s="323">
        <v>8</v>
      </c>
      <c r="E321" s="323"/>
      <c r="F321" s="339" t="s">
        <v>846</v>
      </c>
      <c r="G321" s="29">
        <f>+G322</f>
        <v>0</v>
      </c>
      <c r="H321" s="29">
        <f t="shared" ref="H321:M321" si="155">+H322</f>
        <v>0</v>
      </c>
      <c r="I321" s="29">
        <f t="shared" si="155"/>
        <v>0</v>
      </c>
      <c r="J321" s="29">
        <f t="shared" si="155"/>
        <v>0</v>
      </c>
      <c r="K321" s="29">
        <f t="shared" si="155"/>
        <v>0</v>
      </c>
      <c r="L321" s="29">
        <f t="shared" si="155"/>
        <v>0</v>
      </c>
      <c r="M321" s="29">
        <f t="shared" si="155"/>
        <v>960000</v>
      </c>
      <c r="N321" s="30">
        <f>+N322</f>
        <v>960000</v>
      </c>
      <c r="O321" s="54">
        <f t="shared" si="142"/>
        <v>0.20451442579398019</v>
      </c>
    </row>
    <row r="322" spans="1:15" ht="12.75" x14ac:dyDescent="0.2">
      <c r="A322" s="332">
        <v>2</v>
      </c>
      <c r="B322" s="326">
        <v>6</v>
      </c>
      <c r="C322" s="326">
        <v>8</v>
      </c>
      <c r="D322" s="326">
        <v>8</v>
      </c>
      <c r="E322" s="326" t="s">
        <v>610</v>
      </c>
      <c r="F322" s="330" t="s">
        <v>847</v>
      </c>
      <c r="G322" s="27"/>
      <c r="H322" s="27"/>
      <c r="I322" s="27"/>
      <c r="J322" s="27"/>
      <c r="K322" s="27"/>
      <c r="L322" s="27"/>
      <c r="M322" s="27">
        <v>960000</v>
      </c>
      <c r="N322" s="343">
        <f>SUBTOTAL(9,G322:M322)</f>
        <v>960000</v>
      </c>
      <c r="O322" s="346">
        <f t="shared" si="142"/>
        <v>0.20451442579398019</v>
      </c>
    </row>
    <row r="323" spans="1:15" ht="12.75" x14ac:dyDescent="0.2">
      <c r="A323" s="322">
        <v>2</v>
      </c>
      <c r="B323" s="323">
        <v>6</v>
      </c>
      <c r="C323" s="323">
        <v>8</v>
      </c>
      <c r="D323" s="323">
        <v>9</v>
      </c>
      <c r="E323" s="323"/>
      <c r="F323" s="339" t="s">
        <v>848</v>
      </c>
      <c r="G323" s="29">
        <f>+G324</f>
        <v>0</v>
      </c>
      <c r="H323" s="29">
        <f t="shared" ref="H323:M323" si="156">+H324</f>
        <v>0</v>
      </c>
      <c r="I323" s="29">
        <f t="shared" si="156"/>
        <v>0</v>
      </c>
      <c r="J323" s="29">
        <f t="shared" si="156"/>
        <v>0</v>
      </c>
      <c r="K323" s="29">
        <f t="shared" si="156"/>
        <v>0</v>
      </c>
      <c r="L323" s="29">
        <f t="shared" si="156"/>
        <v>0</v>
      </c>
      <c r="M323" s="29">
        <f t="shared" si="156"/>
        <v>0</v>
      </c>
      <c r="N323" s="29">
        <f>+N324</f>
        <v>0</v>
      </c>
      <c r="O323" s="346">
        <f t="shared" si="142"/>
        <v>0</v>
      </c>
    </row>
    <row r="324" spans="1:15" ht="12.75" x14ac:dyDescent="0.2">
      <c r="A324" s="332">
        <v>2</v>
      </c>
      <c r="B324" s="326">
        <v>6</v>
      </c>
      <c r="C324" s="326">
        <v>8</v>
      </c>
      <c r="D324" s="326">
        <v>9</v>
      </c>
      <c r="E324" s="326" t="s">
        <v>610</v>
      </c>
      <c r="F324" s="330" t="s">
        <v>848</v>
      </c>
      <c r="G324" s="27"/>
      <c r="H324" s="27"/>
      <c r="I324" s="27"/>
      <c r="J324" s="27"/>
      <c r="K324" s="27"/>
      <c r="L324" s="27"/>
      <c r="M324" s="27"/>
      <c r="N324" s="343">
        <f>SUBTOTAL(9,G324:M324)</f>
        <v>0</v>
      </c>
      <c r="O324" s="346">
        <f t="shared" si="142"/>
        <v>0</v>
      </c>
    </row>
    <row r="325" spans="1:15" ht="12.75" x14ac:dyDescent="0.2">
      <c r="A325" s="315">
        <v>2</v>
      </c>
      <c r="B325" s="316">
        <v>7</v>
      </c>
      <c r="C325" s="317"/>
      <c r="D325" s="317"/>
      <c r="E325" s="317"/>
      <c r="F325" s="318" t="s">
        <v>849</v>
      </c>
      <c r="G325" s="33">
        <f>+G326</f>
        <v>0</v>
      </c>
      <c r="H325" s="33">
        <f t="shared" ref="H325:O327" si="157">+H326</f>
        <v>0</v>
      </c>
      <c r="I325" s="33">
        <f t="shared" si="157"/>
        <v>0</v>
      </c>
      <c r="J325" s="33">
        <f t="shared" si="157"/>
        <v>0</v>
      </c>
      <c r="K325" s="33">
        <f t="shared" si="157"/>
        <v>0</v>
      </c>
      <c r="L325" s="33">
        <f t="shared" si="157"/>
        <v>0</v>
      </c>
      <c r="M325" s="33">
        <f t="shared" si="157"/>
        <v>0</v>
      </c>
      <c r="N325" s="33">
        <f t="shared" si="157"/>
        <v>0</v>
      </c>
      <c r="O325" s="51">
        <f t="shared" si="157"/>
        <v>0</v>
      </c>
    </row>
    <row r="326" spans="1:15" ht="12.75" x14ac:dyDescent="0.2">
      <c r="A326" s="319">
        <v>2</v>
      </c>
      <c r="B326" s="320">
        <v>7</v>
      </c>
      <c r="C326" s="320">
        <v>1</v>
      </c>
      <c r="D326" s="320"/>
      <c r="E326" s="320"/>
      <c r="F326" s="321" t="s">
        <v>850</v>
      </c>
      <c r="G326" s="32">
        <f>+G327</f>
        <v>0</v>
      </c>
      <c r="H326" s="32">
        <f t="shared" si="157"/>
        <v>0</v>
      </c>
      <c r="I326" s="32">
        <f t="shared" si="157"/>
        <v>0</v>
      </c>
      <c r="J326" s="32">
        <f t="shared" si="157"/>
        <v>0</v>
      </c>
      <c r="K326" s="32">
        <f t="shared" si="157"/>
        <v>0</v>
      </c>
      <c r="L326" s="32">
        <f t="shared" si="157"/>
        <v>0</v>
      </c>
      <c r="M326" s="32">
        <f t="shared" si="157"/>
        <v>0</v>
      </c>
      <c r="N326" s="32">
        <f t="shared" si="157"/>
        <v>0</v>
      </c>
      <c r="O326" s="54">
        <f t="shared" si="157"/>
        <v>0</v>
      </c>
    </row>
    <row r="327" spans="1:15" ht="12.75" x14ac:dyDescent="0.2">
      <c r="A327" s="322">
        <v>2</v>
      </c>
      <c r="B327" s="323">
        <v>7</v>
      </c>
      <c r="C327" s="323">
        <v>1</v>
      </c>
      <c r="D327" s="323">
        <v>2</v>
      </c>
      <c r="E327" s="323"/>
      <c r="F327" s="331" t="s">
        <v>851</v>
      </c>
      <c r="G327" s="29">
        <f>+G328</f>
        <v>0</v>
      </c>
      <c r="H327" s="29">
        <f t="shared" si="157"/>
        <v>0</v>
      </c>
      <c r="I327" s="29">
        <f t="shared" si="157"/>
        <v>0</v>
      </c>
      <c r="J327" s="29">
        <f t="shared" si="157"/>
        <v>0</v>
      </c>
      <c r="K327" s="29">
        <f t="shared" si="157"/>
        <v>0</v>
      </c>
      <c r="L327" s="29">
        <f t="shared" si="157"/>
        <v>0</v>
      </c>
      <c r="M327" s="29">
        <f t="shared" si="157"/>
        <v>0</v>
      </c>
      <c r="N327" s="29">
        <f t="shared" si="157"/>
        <v>0</v>
      </c>
      <c r="O327" s="54">
        <f t="shared" si="157"/>
        <v>0</v>
      </c>
    </row>
    <row r="328" spans="1:15" ht="12.75" x14ac:dyDescent="0.2">
      <c r="A328" s="340">
        <v>2</v>
      </c>
      <c r="B328" s="341">
        <v>7</v>
      </c>
      <c r="C328" s="341">
        <v>1</v>
      </c>
      <c r="D328" s="341">
        <v>2</v>
      </c>
      <c r="E328" s="341" t="s">
        <v>610</v>
      </c>
      <c r="F328" s="342" t="s">
        <v>851</v>
      </c>
      <c r="G328" s="385"/>
      <c r="H328" s="385"/>
      <c r="I328" s="385"/>
      <c r="J328" s="385"/>
      <c r="K328" s="385"/>
      <c r="L328" s="385"/>
      <c r="M328" s="385"/>
      <c r="N328" s="382">
        <f>SUBTOTAL(9,G328:M328)</f>
        <v>0</v>
      </c>
      <c r="O328" s="383">
        <f t="shared" si="142"/>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sheetProtection algorithmName="SHA-512" hashValue="KcfG1w9WKYoBbnwRwXWUUpAlEfsfykftTkjUV+gVUX41lxQB7dNtEzFbfSEp4wXMGhhC2UKlHbEUFFAccy6vrw==" saltValue="rjE/LoCtCR9DjxUxpBdlbQ==" spinCount="100000" sheet="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topLeftCell="A6" zoomScaleNormal="100" workbookViewId="0">
      <selection activeCell="G9" sqref="G9:G10"/>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x14ac:dyDescent="0.2">
      <c r="A1" s="535" t="e">
        <f>+#REF!</f>
        <v>#REF!</v>
      </c>
      <c r="B1" s="536"/>
      <c r="C1" s="536"/>
      <c r="D1" s="536"/>
      <c r="E1" s="536"/>
      <c r="F1" s="536"/>
      <c r="G1" s="536"/>
      <c r="H1" s="536"/>
      <c r="I1" s="536"/>
      <c r="J1" s="536"/>
      <c r="K1" s="537"/>
    </row>
    <row r="2" spans="1:11" ht="15.75" customHeight="1" x14ac:dyDescent="0.25">
      <c r="A2" s="538" t="s">
        <v>1</v>
      </c>
      <c r="B2" s="518"/>
      <c r="C2" s="518"/>
      <c r="D2" s="518"/>
      <c r="E2" s="518"/>
      <c r="F2" s="518"/>
      <c r="G2" s="518"/>
      <c r="H2" s="518"/>
      <c r="I2" s="518"/>
      <c r="J2" s="518"/>
      <c r="K2" s="539"/>
    </row>
    <row r="3" spans="1:11" ht="15.75" customHeight="1" x14ac:dyDescent="0.25">
      <c r="A3" s="540" t="s">
        <v>2</v>
      </c>
      <c r="B3" s="520"/>
      <c r="C3" s="520"/>
      <c r="D3" s="520"/>
      <c r="E3" s="520"/>
      <c r="F3" s="520"/>
      <c r="G3" s="520"/>
      <c r="H3" s="520"/>
      <c r="I3" s="520"/>
      <c r="J3" s="520"/>
      <c r="K3" s="541"/>
    </row>
    <row r="4" spans="1:11" ht="15.75" customHeight="1" x14ac:dyDescent="0.2">
      <c r="A4" s="521" t="s">
        <v>852</v>
      </c>
      <c r="B4" s="522"/>
      <c r="C4" s="522"/>
      <c r="D4" s="522"/>
      <c r="E4" s="522"/>
      <c r="F4" s="522"/>
      <c r="G4" s="522"/>
      <c r="H4" s="522"/>
      <c r="I4" s="522"/>
      <c r="J4" s="522"/>
      <c r="K4" s="542"/>
    </row>
    <row r="5" spans="1:11" ht="15.75" customHeight="1" x14ac:dyDescent="0.2">
      <c r="A5" s="521" t="e">
        <f>+#REF!</f>
        <v>#REF!</v>
      </c>
      <c r="B5" s="522"/>
      <c r="C5" s="522"/>
      <c r="D5" s="522"/>
      <c r="E5" s="522"/>
      <c r="F5" s="522"/>
      <c r="G5" s="522"/>
      <c r="H5" s="522"/>
      <c r="I5" s="522"/>
      <c r="J5" s="522"/>
      <c r="K5" s="542"/>
    </row>
    <row r="6" spans="1:11" ht="15.75" customHeight="1" x14ac:dyDescent="0.2">
      <c r="A6" s="15" t="s">
        <v>15</v>
      </c>
      <c r="B6" s="5"/>
      <c r="C6" s="5"/>
      <c r="D6" s="5"/>
      <c r="E6" s="5"/>
      <c r="F6" s="523" t="e">
        <f>+#REF!</f>
        <v>#REF!</v>
      </c>
      <c r="G6" s="523"/>
      <c r="H6" s="523"/>
      <c r="I6" s="523"/>
      <c r="J6" s="523"/>
      <c r="K6" s="525"/>
    </row>
    <row r="7" spans="1:11" ht="15.75" customHeight="1" x14ac:dyDescent="0.2">
      <c r="A7" s="18" t="s">
        <v>586</v>
      </c>
      <c r="B7" s="19"/>
      <c r="C7" s="19"/>
      <c r="D7" s="16"/>
      <c r="E7" s="19"/>
      <c r="F7" s="526" t="e">
        <f>+#REF!</f>
        <v>#REF!</v>
      </c>
      <c r="G7" s="526"/>
      <c r="H7" s="526"/>
      <c r="I7" s="526"/>
      <c r="J7" s="526"/>
      <c r="K7" s="527"/>
    </row>
    <row r="8" spans="1:11" ht="15.75" customHeight="1" x14ac:dyDescent="0.2">
      <c r="A8" s="22" t="s">
        <v>551</v>
      </c>
      <c r="B8" s="23"/>
      <c r="C8" s="23"/>
      <c r="D8" s="23"/>
      <c r="E8" s="23"/>
      <c r="F8" s="23"/>
      <c r="G8" s="23"/>
      <c r="H8" s="23"/>
      <c r="I8" s="23"/>
      <c r="J8" s="23"/>
      <c r="K8" s="24"/>
    </row>
    <row r="9" spans="1:11" ht="13.5" x14ac:dyDescent="0.25">
      <c r="A9" s="42" t="s">
        <v>587</v>
      </c>
      <c r="B9" s="3"/>
      <c r="C9" s="3"/>
      <c r="D9" s="3"/>
      <c r="E9" s="43"/>
      <c r="F9" s="44"/>
      <c r="G9" s="59">
        <f>+PPNE3!F16</f>
        <v>17000000</v>
      </c>
      <c r="H9" s="41"/>
      <c r="I9" s="41"/>
      <c r="J9" s="41"/>
      <c r="K9" s="45"/>
    </row>
    <row r="10" spans="1:11" ht="13.5" x14ac:dyDescent="0.25">
      <c r="A10" s="42" t="s">
        <v>588</v>
      </c>
      <c r="B10" s="3"/>
      <c r="C10" s="3"/>
      <c r="D10" s="3"/>
      <c r="E10" s="43"/>
      <c r="F10" s="44"/>
      <c r="G10" s="59">
        <f>+PPNE3!F25</f>
        <v>39822391.920000002</v>
      </c>
      <c r="H10" s="41"/>
      <c r="I10" s="41"/>
      <c r="J10" s="41"/>
      <c r="K10" s="45"/>
    </row>
    <row r="11" spans="1:11" ht="13.5" x14ac:dyDescent="0.25">
      <c r="A11" s="42" t="s">
        <v>589</v>
      </c>
      <c r="B11" s="3"/>
      <c r="C11" s="3"/>
      <c r="D11" s="3"/>
      <c r="E11" s="43"/>
      <c r="F11" s="44"/>
      <c r="G11" s="59">
        <f>+PPNE3!F15</f>
        <v>412582148.25999999</v>
      </c>
      <c r="H11" s="41"/>
      <c r="I11" s="41"/>
      <c r="J11" s="41"/>
      <c r="K11" s="45"/>
    </row>
    <row r="12" spans="1:11" ht="13.5" x14ac:dyDescent="0.25">
      <c r="A12" s="42" t="s">
        <v>590</v>
      </c>
      <c r="B12" s="3"/>
      <c r="C12" s="3"/>
      <c r="D12" s="3"/>
      <c r="E12" s="43"/>
      <c r="F12" s="44"/>
      <c r="G12" s="59">
        <f>+PPNE3!F9+PPNE3!F17+PPNE3!F21+PPNE3!F22</f>
        <v>0</v>
      </c>
      <c r="H12" s="41"/>
      <c r="I12" s="41"/>
      <c r="J12" s="41"/>
      <c r="K12" s="45"/>
    </row>
    <row r="13" spans="1:11" ht="13.5" x14ac:dyDescent="0.25">
      <c r="A13" s="46" t="s">
        <v>591</v>
      </c>
      <c r="B13" s="3"/>
      <c r="C13" s="3"/>
      <c r="D13" s="3"/>
      <c r="E13" s="43"/>
      <c r="F13" s="44"/>
      <c r="G13" s="60">
        <f>+PPNE3!F18</f>
        <v>0</v>
      </c>
      <c r="H13" s="41"/>
      <c r="I13" s="41"/>
      <c r="J13" s="41"/>
      <c r="K13" s="45"/>
    </row>
    <row r="14" spans="1:11" ht="14.25" thickBot="1" x14ac:dyDescent="0.3">
      <c r="A14" s="34" t="s">
        <v>592</v>
      </c>
      <c r="B14" s="35"/>
      <c r="C14" s="35"/>
      <c r="D14" s="35"/>
      <c r="E14" s="36"/>
      <c r="F14" s="37"/>
      <c r="G14" s="38">
        <f>SUM(G9:G13)</f>
        <v>469404540.18000001</v>
      </c>
      <c r="H14" s="39"/>
      <c r="I14" s="39"/>
      <c r="J14" s="39"/>
      <c r="K14" s="40"/>
    </row>
    <row r="15" spans="1:11" ht="15.75" customHeight="1" thickTop="1" x14ac:dyDescent="0.2">
      <c r="A15" s="25" t="s">
        <v>593</v>
      </c>
      <c r="B15" s="20"/>
      <c r="C15" s="20"/>
      <c r="D15" s="20"/>
      <c r="E15" s="20"/>
      <c r="F15" s="20"/>
      <c r="G15" s="20"/>
      <c r="H15" s="20"/>
      <c r="I15" s="20"/>
      <c r="J15" s="20"/>
      <c r="K15" s="26"/>
    </row>
    <row r="16" spans="1:11" ht="19.5" customHeight="1" x14ac:dyDescent="0.2">
      <c r="A16" s="524" t="s">
        <v>594</v>
      </c>
      <c r="B16" s="524" t="s">
        <v>595</v>
      </c>
      <c r="C16" s="524" t="s">
        <v>554</v>
      </c>
      <c r="D16" s="524" t="s">
        <v>596</v>
      </c>
      <c r="E16" s="524" t="s">
        <v>555</v>
      </c>
      <c r="F16" s="529" t="s">
        <v>597</v>
      </c>
      <c r="G16" s="528" t="s">
        <v>853</v>
      </c>
      <c r="H16" s="528" t="s">
        <v>508</v>
      </c>
      <c r="I16" s="528" t="s">
        <v>68</v>
      </c>
      <c r="J16" s="531" t="s">
        <v>602</v>
      </c>
      <c r="K16" s="531" t="s">
        <v>558</v>
      </c>
    </row>
    <row r="17" spans="1:11" ht="44.25" customHeight="1" x14ac:dyDescent="0.2">
      <c r="A17" s="524"/>
      <c r="B17" s="524"/>
      <c r="C17" s="524"/>
      <c r="D17" s="524"/>
      <c r="E17" s="524"/>
      <c r="F17" s="530"/>
      <c r="G17" s="528"/>
      <c r="H17" s="528"/>
      <c r="I17" s="528"/>
      <c r="J17" s="532"/>
      <c r="K17" s="532"/>
    </row>
    <row r="18" spans="1:11" ht="12.75" x14ac:dyDescent="0.2">
      <c r="A18" s="347">
        <v>2</v>
      </c>
      <c r="B18" s="348"/>
      <c r="C18" s="348"/>
      <c r="D18" s="348"/>
      <c r="E18" s="348"/>
      <c r="F18" s="349" t="s">
        <v>36</v>
      </c>
      <c r="G18" s="350">
        <f>+G19+G67+G170+G254+G270+G323</f>
        <v>17000000</v>
      </c>
      <c r="H18" s="350">
        <f>+H19+H67+H170+H254+H270+H323</f>
        <v>39822391.920000002</v>
      </c>
      <c r="I18" s="350">
        <f t="shared" ref="I18:K18" si="0">+I19+I67+I170+I254+I270+I323</f>
        <v>412582148.25999999</v>
      </c>
      <c r="J18" s="350">
        <f t="shared" si="0"/>
        <v>469404540.18000001</v>
      </c>
      <c r="K18" s="350">
        <f t="shared" si="0"/>
        <v>99.999999999999986</v>
      </c>
    </row>
    <row r="19" spans="1:11" ht="12.75" x14ac:dyDescent="0.2">
      <c r="A19" s="351">
        <v>2</v>
      </c>
      <c r="B19" s="352">
        <v>1</v>
      </c>
      <c r="C19" s="352"/>
      <c r="D19" s="352"/>
      <c r="E19" s="352"/>
      <c r="F19" s="353" t="s">
        <v>607</v>
      </c>
      <c r="G19" s="354">
        <f>+G20+G42+G54+G58</f>
        <v>0</v>
      </c>
      <c r="H19" s="354">
        <f t="shared" ref="H19:K19" si="1">+H20+H42+H54+H58</f>
        <v>3577325.17</v>
      </c>
      <c r="I19" s="354">
        <f t="shared" si="1"/>
        <v>412582148.25999999</v>
      </c>
      <c r="J19" s="354">
        <f t="shared" si="1"/>
        <v>416159473.43000001</v>
      </c>
      <c r="K19" s="354">
        <f t="shared" si="1"/>
        <v>88.656891403397495</v>
      </c>
    </row>
    <row r="20" spans="1:11" ht="12.75" x14ac:dyDescent="0.2">
      <c r="A20" s="355">
        <v>2</v>
      </c>
      <c r="B20" s="356">
        <v>1</v>
      </c>
      <c r="C20" s="356">
        <v>1</v>
      </c>
      <c r="D20" s="356"/>
      <c r="E20" s="356"/>
      <c r="F20" s="357" t="s">
        <v>608</v>
      </c>
      <c r="G20" s="358">
        <f>+G21+G26+G33+G35+G37</f>
        <v>0</v>
      </c>
      <c r="H20" s="358">
        <f t="shared" ref="H20:K20" si="2">+H21+H26+H33+H35+H37</f>
        <v>0</v>
      </c>
      <c r="I20" s="358">
        <f t="shared" si="2"/>
        <v>412582148.25999999</v>
      </c>
      <c r="J20" s="358">
        <f t="shared" si="2"/>
        <v>412582148.25999999</v>
      </c>
      <c r="K20" s="358">
        <f t="shared" si="2"/>
        <v>87.894792858584054</v>
      </c>
    </row>
    <row r="21" spans="1:11" ht="12.75" x14ac:dyDescent="0.2">
      <c r="A21" s="359">
        <v>2</v>
      </c>
      <c r="B21" s="360">
        <v>1</v>
      </c>
      <c r="C21" s="360">
        <v>1</v>
      </c>
      <c r="D21" s="360">
        <v>1</v>
      </c>
      <c r="E21" s="360"/>
      <c r="F21" s="361" t="s">
        <v>609</v>
      </c>
      <c r="G21" s="362">
        <f>SUM(G22:G25)</f>
        <v>0</v>
      </c>
      <c r="H21" s="362">
        <f t="shared" ref="H21:K21" si="3">SUM(H22:H25)</f>
        <v>0</v>
      </c>
      <c r="I21" s="362">
        <f t="shared" si="3"/>
        <v>412582148.25999999</v>
      </c>
      <c r="J21" s="362">
        <f t="shared" si="3"/>
        <v>412582148.25999999</v>
      </c>
      <c r="K21" s="362">
        <f t="shared" si="3"/>
        <v>87.894792858584054</v>
      </c>
    </row>
    <row r="22" spans="1:11" ht="12.75" x14ac:dyDescent="0.2">
      <c r="A22" s="363">
        <v>2</v>
      </c>
      <c r="B22" s="364">
        <v>1</v>
      </c>
      <c r="C22" s="364">
        <v>1</v>
      </c>
      <c r="D22" s="364">
        <v>1</v>
      </c>
      <c r="E22" s="364" t="s">
        <v>610</v>
      </c>
      <c r="F22" s="365" t="s">
        <v>611</v>
      </c>
      <c r="G22" s="366"/>
      <c r="H22" s="27"/>
      <c r="I22" s="27">
        <v>412582148.25999999</v>
      </c>
      <c r="J22" s="343">
        <f t="shared" ref="J22:J27" si="4">SUBTOTAL(9,G22:I22)</f>
        <v>412582148.25999999</v>
      </c>
      <c r="K22" s="346">
        <f>IFERROR(J22/$J$18*100,"0.00")</f>
        <v>87.894792858584054</v>
      </c>
    </row>
    <row r="23" spans="1:11" ht="12.75" x14ac:dyDescent="0.2">
      <c r="A23" s="363">
        <v>2</v>
      </c>
      <c r="B23" s="364">
        <v>1</v>
      </c>
      <c r="C23" s="364">
        <v>1</v>
      </c>
      <c r="D23" s="364">
        <v>1</v>
      </c>
      <c r="E23" s="364" t="s">
        <v>612</v>
      </c>
      <c r="F23" s="367" t="s">
        <v>613</v>
      </c>
      <c r="G23" s="366"/>
      <c r="H23" s="27"/>
      <c r="I23" s="27"/>
      <c r="J23" s="343">
        <f t="shared" si="4"/>
        <v>0</v>
      </c>
      <c r="K23" s="346">
        <f>IFERROR(J23/$J$18*100,"0.00")</f>
        <v>0</v>
      </c>
    </row>
    <row r="24" spans="1:11" ht="12.75" x14ac:dyDescent="0.2">
      <c r="A24" s="363">
        <v>2</v>
      </c>
      <c r="B24" s="364">
        <v>1</v>
      </c>
      <c r="C24" s="364">
        <v>1</v>
      </c>
      <c r="D24" s="364">
        <v>1</v>
      </c>
      <c r="E24" s="364" t="s">
        <v>614</v>
      </c>
      <c r="F24" s="367" t="s">
        <v>615</v>
      </c>
      <c r="G24" s="366"/>
      <c r="H24" s="27"/>
      <c r="I24" s="27"/>
      <c r="J24" s="343">
        <f t="shared" si="4"/>
        <v>0</v>
      </c>
      <c r="K24" s="346">
        <f>IFERROR(J24/$J$18*100,"0.00")</f>
        <v>0</v>
      </c>
    </row>
    <row r="25" spans="1:11" ht="12.75" x14ac:dyDescent="0.2">
      <c r="A25" s="363">
        <v>2</v>
      </c>
      <c r="B25" s="364">
        <v>1</v>
      </c>
      <c r="C25" s="364">
        <v>1</v>
      </c>
      <c r="D25" s="364">
        <v>1</v>
      </c>
      <c r="E25" s="364" t="s">
        <v>616</v>
      </c>
      <c r="F25" s="367" t="s">
        <v>617</v>
      </c>
      <c r="G25" s="366"/>
      <c r="H25" s="27"/>
      <c r="I25" s="27"/>
      <c r="J25" s="343">
        <f t="shared" si="4"/>
        <v>0</v>
      </c>
      <c r="K25" s="346">
        <f>IFERROR(J25/$J$18*100,"0.00")</f>
        <v>0</v>
      </c>
    </row>
    <row r="26" spans="1:11" ht="12.75" x14ac:dyDescent="0.2">
      <c r="A26" s="359">
        <v>2</v>
      </c>
      <c r="B26" s="360">
        <v>1</v>
      </c>
      <c r="C26" s="360">
        <v>1</v>
      </c>
      <c r="D26" s="360">
        <v>2</v>
      </c>
      <c r="E26" s="360"/>
      <c r="F26" s="361" t="s">
        <v>618</v>
      </c>
      <c r="G26" s="362">
        <f>SUM(G27:G32)</f>
        <v>0</v>
      </c>
      <c r="H26" s="362">
        <f>SUM(H27:H32)</f>
        <v>0</v>
      </c>
      <c r="I26" s="362">
        <f>SUM(I27:I32)</f>
        <v>0</v>
      </c>
      <c r="J26" s="362">
        <f>SUM(J27:J32)</f>
        <v>0</v>
      </c>
      <c r="K26" s="53">
        <f>SUM(K27:K32)</f>
        <v>0</v>
      </c>
    </row>
    <row r="27" spans="1:11" ht="12.75" x14ac:dyDescent="0.2">
      <c r="A27" s="363">
        <v>2</v>
      </c>
      <c r="B27" s="364">
        <v>1</v>
      </c>
      <c r="C27" s="364">
        <v>1</v>
      </c>
      <c r="D27" s="364">
        <v>2</v>
      </c>
      <c r="E27" s="364" t="s">
        <v>619</v>
      </c>
      <c r="F27" s="367" t="s">
        <v>620</v>
      </c>
      <c r="G27" s="366"/>
      <c r="H27" s="27"/>
      <c r="I27" s="27"/>
      <c r="J27" s="343">
        <f t="shared" si="4"/>
        <v>0</v>
      </c>
      <c r="K27" s="346">
        <f>IFERROR(J27/$J$18*100,"0.00")</f>
        <v>0</v>
      </c>
    </row>
    <row r="28" spans="1:11" ht="12.75" x14ac:dyDescent="0.2">
      <c r="A28" s="363">
        <v>2</v>
      </c>
      <c r="B28" s="364">
        <v>1</v>
      </c>
      <c r="C28" s="364">
        <v>1</v>
      </c>
      <c r="D28" s="364">
        <v>2</v>
      </c>
      <c r="E28" s="364" t="s">
        <v>614</v>
      </c>
      <c r="F28" s="367" t="s">
        <v>621</v>
      </c>
      <c r="G28" s="366"/>
      <c r="H28" s="344"/>
      <c r="I28" s="344"/>
      <c r="J28" s="343">
        <f>SUBTOTAL(9,G28:I28)</f>
        <v>0</v>
      </c>
      <c r="K28" s="346">
        <f t="shared" ref="K28:K34" si="5">IFERROR(J28/$J$18*100,"0.00")</f>
        <v>0</v>
      </c>
    </row>
    <row r="29" spans="1:11" ht="12.75" x14ac:dyDescent="0.2">
      <c r="A29" s="363">
        <v>2</v>
      </c>
      <c r="B29" s="364">
        <v>1</v>
      </c>
      <c r="C29" s="364">
        <v>1</v>
      </c>
      <c r="D29" s="364">
        <v>2</v>
      </c>
      <c r="E29" s="364" t="s">
        <v>616</v>
      </c>
      <c r="F29" s="367" t="s">
        <v>622</v>
      </c>
      <c r="G29" s="366"/>
      <c r="H29" s="27"/>
      <c r="I29" s="27"/>
      <c r="J29" s="343">
        <f>SUBTOTAL(9,G29:I29)</f>
        <v>0</v>
      </c>
      <c r="K29" s="346">
        <f t="shared" si="5"/>
        <v>0</v>
      </c>
    </row>
    <row r="30" spans="1:11" ht="12.75" x14ac:dyDescent="0.2">
      <c r="A30" s="368">
        <v>2</v>
      </c>
      <c r="B30" s="369">
        <v>1</v>
      </c>
      <c r="C30" s="369">
        <v>1</v>
      </c>
      <c r="D30" s="369">
        <v>2</v>
      </c>
      <c r="E30" s="369" t="s">
        <v>623</v>
      </c>
      <c r="F30" s="370" t="s">
        <v>624</v>
      </c>
      <c r="G30" s="366"/>
      <c r="H30" s="27"/>
      <c r="I30" s="27"/>
      <c r="J30" s="343">
        <f>SUBTOTAL(9,G30:I30)</f>
        <v>0</v>
      </c>
      <c r="K30" s="346">
        <f t="shared" si="5"/>
        <v>0</v>
      </c>
    </row>
    <row r="31" spans="1:11" ht="12.75" x14ac:dyDescent="0.2">
      <c r="A31" s="368">
        <v>2</v>
      </c>
      <c r="B31" s="369">
        <v>1</v>
      </c>
      <c r="C31" s="369">
        <v>1</v>
      </c>
      <c r="D31" s="369">
        <v>2</v>
      </c>
      <c r="E31" s="369" t="s">
        <v>625</v>
      </c>
      <c r="F31" s="370" t="s">
        <v>626</v>
      </c>
      <c r="G31" s="366"/>
      <c r="H31" s="27"/>
      <c r="I31" s="27"/>
      <c r="J31" s="343">
        <f>SUBTOTAL(9,G31:I31)</f>
        <v>0</v>
      </c>
      <c r="K31" s="346">
        <f t="shared" si="5"/>
        <v>0</v>
      </c>
    </row>
    <row r="32" spans="1:11" ht="12.75" x14ac:dyDescent="0.2">
      <c r="A32" s="368">
        <v>2</v>
      </c>
      <c r="B32" s="369">
        <v>1</v>
      </c>
      <c r="C32" s="369">
        <v>1</v>
      </c>
      <c r="D32" s="369">
        <v>2</v>
      </c>
      <c r="E32" s="369" t="s">
        <v>627</v>
      </c>
      <c r="F32" s="370" t="s">
        <v>628</v>
      </c>
      <c r="G32" s="366"/>
      <c r="H32" s="27"/>
      <c r="I32" s="27"/>
      <c r="J32" s="343">
        <f>SUBTOTAL(9,G32:I32)</f>
        <v>0</v>
      </c>
      <c r="K32" s="346">
        <f t="shared" si="5"/>
        <v>0</v>
      </c>
    </row>
    <row r="33" spans="1:11" ht="12.75" x14ac:dyDescent="0.2">
      <c r="A33" s="359">
        <v>2</v>
      </c>
      <c r="B33" s="360">
        <v>1</v>
      </c>
      <c r="C33" s="360">
        <v>1</v>
      </c>
      <c r="D33" s="360">
        <v>3</v>
      </c>
      <c r="E33" s="360"/>
      <c r="F33" s="361" t="s">
        <v>629</v>
      </c>
      <c r="G33" s="362">
        <f>G34</f>
        <v>0</v>
      </c>
      <c r="H33" s="362">
        <f>H34</f>
        <v>0</v>
      </c>
      <c r="I33" s="362">
        <f>I34</f>
        <v>0</v>
      </c>
      <c r="J33" s="362">
        <f>J34</f>
        <v>0</v>
      </c>
      <c r="K33" s="53">
        <f>K34</f>
        <v>0</v>
      </c>
    </row>
    <row r="34" spans="1:11" ht="12.75" x14ac:dyDescent="0.2">
      <c r="A34" s="363">
        <v>2</v>
      </c>
      <c r="B34" s="364">
        <v>1</v>
      </c>
      <c r="C34" s="364">
        <v>1</v>
      </c>
      <c r="D34" s="364">
        <v>3</v>
      </c>
      <c r="E34" s="364" t="s">
        <v>610</v>
      </c>
      <c r="F34" s="367" t="s">
        <v>629</v>
      </c>
      <c r="G34" s="366"/>
      <c r="H34" s="27"/>
      <c r="I34" s="27"/>
      <c r="J34" s="343">
        <f t="shared" ref="J34:J41" si="6">SUBTOTAL(9,G34:I34)</f>
        <v>0</v>
      </c>
      <c r="K34" s="346">
        <f t="shared" si="5"/>
        <v>0</v>
      </c>
    </row>
    <row r="35" spans="1:11" ht="12.75" x14ac:dyDescent="0.2">
      <c r="A35" s="359">
        <v>2</v>
      </c>
      <c r="B35" s="360">
        <v>1</v>
      </c>
      <c r="C35" s="360">
        <v>1</v>
      </c>
      <c r="D35" s="360">
        <v>4</v>
      </c>
      <c r="E35" s="360"/>
      <c r="F35" s="361" t="s">
        <v>630</v>
      </c>
      <c r="G35" s="362">
        <f>G36</f>
        <v>0</v>
      </c>
      <c r="H35" s="362">
        <f>H36</f>
        <v>0</v>
      </c>
      <c r="I35" s="362">
        <f>I36</f>
        <v>0</v>
      </c>
      <c r="J35" s="362">
        <f>J36</f>
        <v>0</v>
      </c>
      <c r="K35" s="53">
        <f>K36</f>
        <v>0</v>
      </c>
    </row>
    <row r="36" spans="1:11" ht="12.75" x14ac:dyDescent="0.2">
      <c r="A36" s="363">
        <v>2</v>
      </c>
      <c r="B36" s="364">
        <v>1</v>
      </c>
      <c r="C36" s="364">
        <v>1</v>
      </c>
      <c r="D36" s="364">
        <v>4</v>
      </c>
      <c r="E36" s="364" t="s">
        <v>610</v>
      </c>
      <c r="F36" s="367" t="s">
        <v>630</v>
      </c>
      <c r="G36" s="366"/>
      <c r="H36" s="366"/>
      <c r="I36" s="366"/>
      <c r="J36" s="380">
        <f t="shared" si="6"/>
        <v>0</v>
      </c>
      <c r="K36" s="346">
        <f t="shared" ref="K36:K41" si="7">IFERROR(J36/$J$18*100,"0.00")</f>
        <v>0</v>
      </c>
    </row>
    <row r="37" spans="1:11" ht="12.75" x14ac:dyDescent="0.2">
      <c r="A37" s="359">
        <v>2</v>
      </c>
      <c r="B37" s="360">
        <v>1</v>
      </c>
      <c r="C37" s="360">
        <v>1</v>
      </c>
      <c r="D37" s="360">
        <v>5</v>
      </c>
      <c r="E37" s="360"/>
      <c r="F37" s="361" t="s">
        <v>631</v>
      </c>
      <c r="G37" s="362">
        <f>SUM(G38:G41)</f>
        <v>0</v>
      </c>
      <c r="H37" s="362">
        <f>SUM(H38:H41)</f>
        <v>0</v>
      </c>
      <c r="I37" s="362">
        <f>SUM(I38:I41)</f>
        <v>0</v>
      </c>
      <c r="J37" s="362">
        <f>SUM(J38:J41)</f>
        <v>0</v>
      </c>
      <c r="K37" s="53">
        <f>SUM(K38:K41)</f>
        <v>0</v>
      </c>
    </row>
    <row r="38" spans="1:11" ht="12.75" x14ac:dyDescent="0.2">
      <c r="A38" s="363">
        <v>2</v>
      </c>
      <c r="B38" s="364">
        <v>1</v>
      </c>
      <c r="C38" s="364">
        <v>1</v>
      </c>
      <c r="D38" s="364">
        <v>5</v>
      </c>
      <c r="E38" s="364" t="s">
        <v>610</v>
      </c>
      <c r="F38" s="371" t="s">
        <v>631</v>
      </c>
      <c r="G38" s="366"/>
      <c r="H38" s="366"/>
      <c r="I38" s="366"/>
      <c r="J38" s="380">
        <f t="shared" si="6"/>
        <v>0</v>
      </c>
      <c r="K38" s="346">
        <f t="shared" si="7"/>
        <v>0</v>
      </c>
    </row>
    <row r="39" spans="1:11" ht="12.75" x14ac:dyDescent="0.2">
      <c r="A39" s="363">
        <v>2</v>
      </c>
      <c r="B39" s="364">
        <v>1</v>
      </c>
      <c r="C39" s="364">
        <v>1</v>
      </c>
      <c r="D39" s="364">
        <v>5</v>
      </c>
      <c r="E39" s="364" t="s">
        <v>612</v>
      </c>
      <c r="F39" s="367" t="s">
        <v>632</v>
      </c>
      <c r="G39" s="366"/>
      <c r="H39" s="366"/>
      <c r="I39" s="366"/>
      <c r="J39" s="380">
        <f t="shared" si="6"/>
        <v>0</v>
      </c>
      <c r="K39" s="346">
        <f t="shared" si="7"/>
        <v>0</v>
      </c>
    </row>
    <row r="40" spans="1:11" ht="12.75" x14ac:dyDescent="0.2">
      <c r="A40" s="363">
        <v>2</v>
      </c>
      <c r="B40" s="364">
        <v>1</v>
      </c>
      <c r="C40" s="364">
        <v>1</v>
      </c>
      <c r="D40" s="364">
        <v>5</v>
      </c>
      <c r="E40" s="364" t="s">
        <v>619</v>
      </c>
      <c r="F40" s="367" t="s">
        <v>633</v>
      </c>
      <c r="G40" s="366"/>
      <c r="H40" s="366"/>
      <c r="I40" s="366"/>
      <c r="J40" s="380">
        <f t="shared" si="6"/>
        <v>0</v>
      </c>
      <c r="K40" s="346">
        <f t="shared" si="7"/>
        <v>0</v>
      </c>
    </row>
    <row r="41" spans="1:11" ht="12.75" x14ac:dyDescent="0.2">
      <c r="A41" s="363">
        <v>2</v>
      </c>
      <c r="B41" s="364">
        <v>1</v>
      </c>
      <c r="C41" s="364">
        <v>1</v>
      </c>
      <c r="D41" s="364">
        <v>5</v>
      </c>
      <c r="E41" s="364" t="s">
        <v>634</v>
      </c>
      <c r="F41" s="367" t="s">
        <v>635</v>
      </c>
      <c r="G41" s="366"/>
      <c r="H41" s="366"/>
      <c r="I41" s="366"/>
      <c r="J41" s="380">
        <f t="shared" si="6"/>
        <v>0</v>
      </c>
      <c r="K41" s="346">
        <f t="shared" si="7"/>
        <v>0</v>
      </c>
    </row>
    <row r="42" spans="1:11" ht="12.75" x14ac:dyDescent="0.2">
      <c r="A42" s="355">
        <v>2</v>
      </c>
      <c r="B42" s="356">
        <v>1</v>
      </c>
      <c r="C42" s="356">
        <v>2</v>
      </c>
      <c r="D42" s="356"/>
      <c r="E42" s="356"/>
      <c r="F42" s="357" t="s">
        <v>636</v>
      </c>
      <c r="G42" s="358">
        <f>+G43+G45</f>
        <v>0</v>
      </c>
      <c r="H42" s="358">
        <f>+H43+H45</f>
        <v>3577325.17</v>
      </c>
      <c r="I42" s="358">
        <f>+I43+I45</f>
        <v>0</v>
      </c>
      <c r="J42" s="358">
        <f>+J43+J45</f>
        <v>3577325.17</v>
      </c>
      <c r="K42" s="358">
        <f>+K43+K45</f>
        <v>0.76209854481344008</v>
      </c>
    </row>
    <row r="43" spans="1:11" ht="12.75" x14ac:dyDescent="0.2">
      <c r="A43" s="359">
        <v>2</v>
      </c>
      <c r="B43" s="360">
        <v>1</v>
      </c>
      <c r="C43" s="360">
        <v>2</v>
      </c>
      <c r="D43" s="360">
        <v>1</v>
      </c>
      <c r="E43" s="360"/>
      <c r="F43" s="361" t="s">
        <v>637</v>
      </c>
      <c r="G43" s="362">
        <f>G44</f>
        <v>0</v>
      </c>
      <c r="H43" s="362">
        <f>H44</f>
        <v>0</v>
      </c>
      <c r="I43" s="362">
        <f>I44</f>
        <v>0</v>
      </c>
      <c r="J43" s="362">
        <f>J44</f>
        <v>0</v>
      </c>
      <c r="K43" s="53">
        <f>K44</f>
        <v>0</v>
      </c>
    </row>
    <row r="44" spans="1:11" ht="12.75" x14ac:dyDescent="0.2">
      <c r="A44" s="363">
        <v>2</v>
      </c>
      <c r="B44" s="364">
        <v>1</v>
      </c>
      <c r="C44" s="364">
        <v>2</v>
      </c>
      <c r="D44" s="364">
        <v>1</v>
      </c>
      <c r="E44" s="364" t="s">
        <v>610</v>
      </c>
      <c r="F44" s="367" t="s">
        <v>637</v>
      </c>
      <c r="G44" s="366"/>
      <c r="H44" s="27"/>
      <c r="I44" s="27"/>
      <c r="J44" s="343">
        <f>SUBTOTAL(9,G44:I44)</f>
        <v>0</v>
      </c>
      <c r="K44" s="346">
        <f>IFERROR(J44/$J$18*100,"0.00")</f>
        <v>0</v>
      </c>
    </row>
    <row r="45" spans="1:11" ht="12.75" x14ac:dyDescent="0.2">
      <c r="A45" s="359">
        <v>2</v>
      </c>
      <c r="B45" s="360">
        <v>1</v>
      </c>
      <c r="C45" s="360">
        <v>2</v>
      </c>
      <c r="D45" s="360">
        <v>2</v>
      </c>
      <c r="E45" s="360"/>
      <c r="F45" s="361" t="s">
        <v>638</v>
      </c>
      <c r="G45" s="362">
        <f>SUM(G46:G53)</f>
        <v>0</v>
      </c>
      <c r="H45" s="362">
        <f>SUM(H46:H53)</f>
        <v>3577325.17</v>
      </c>
      <c r="I45" s="362">
        <f>SUM(I46:I53)</f>
        <v>0</v>
      </c>
      <c r="J45" s="362">
        <f>SUM(J46:J53)</f>
        <v>3577325.17</v>
      </c>
      <c r="K45" s="53">
        <f>SUM(K46:K53)</f>
        <v>0.76209854481344008</v>
      </c>
    </row>
    <row r="46" spans="1:11" ht="22.5" x14ac:dyDescent="0.2">
      <c r="A46" s="363">
        <v>2</v>
      </c>
      <c r="B46" s="364">
        <v>1</v>
      </c>
      <c r="C46" s="364">
        <v>2</v>
      </c>
      <c r="D46" s="364">
        <v>2</v>
      </c>
      <c r="E46" s="364" t="s">
        <v>619</v>
      </c>
      <c r="F46" s="367" t="s">
        <v>639</v>
      </c>
      <c r="G46" s="366"/>
      <c r="H46" s="366"/>
      <c r="I46" s="366"/>
      <c r="J46" s="380">
        <f>SUBTOTAL(9,G46:I46)</f>
        <v>0</v>
      </c>
      <c r="K46" s="346">
        <f t="shared" ref="K46:K52" si="8">IFERROR(J46/$J$18*100,"0.00")</f>
        <v>0</v>
      </c>
    </row>
    <row r="47" spans="1:11" ht="12.75" x14ac:dyDescent="0.2">
      <c r="A47" s="363">
        <v>2</v>
      </c>
      <c r="B47" s="364">
        <v>1</v>
      </c>
      <c r="C47" s="364">
        <v>2</v>
      </c>
      <c r="D47" s="364">
        <v>2</v>
      </c>
      <c r="E47" s="364" t="s">
        <v>634</v>
      </c>
      <c r="F47" s="367" t="s">
        <v>640</v>
      </c>
      <c r="G47" s="366"/>
      <c r="H47" s="366"/>
      <c r="I47" s="366"/>
      <c r="J47" s="380">
        <f t="shared" ref="J47:J53" si="9">SUBTOTAL(9,G47:I47)</f>
        <v>0</v>
      </c>
      <c r="K47" s="346">
        <f t="shared" si="8"/>
        <v>0</v>
      </c>
    </row>
    <row r="48" spans="1:11" ht="12.75" x14ac:dyDescent="0.2">
      <c r="A48" s="363">
        <v>2</v>
      </c>
      <c r="B48" s="364">
        <v>1</v>
      </c>
      <c r="C48" s="364">
        <v>2</v>
      </c>
      <c r="D48" s="364">
        <v>2</v>
      </c>
      <c r="E48" s="364" t="s">
        <v>614</v>
      </c>
      <c r="F48" s="367" t="s">
        <v>641</v>
      </c>
      <c r="G48" s="366"/>
      <c r="H48" s="366"/>
      <c r="I48" s="366"/>
      <c r="J48" s="380">
        <f t="shared" si="9"/>
        <v>0</v>
      </c>
      <c r="K48" s="346">
        <f t="shared" si="8"/>
        <v>0</v>
      </c>
    </row>
    <row r="49" spans="1:11" ht="12.75" x14ac:dyDescent="0.2">
      <c r="A49" s="363">
        <v>2</v>
      </c>
      <c r="B49" s="364">
        <v>1</v>
      </c>
      <c r="C49" s="364">
        <v>2</v>
      </c>
      <c r="D49" s="364">
        <v>2</v>
      </c>
      <c r="E49" s="364" t="s">
        <v>616</v>
      </c>
      <c r="F49" s="367" t="s">
        <v>642</v>
      </c>
      <c r="G49" s="366"/>
      <c r="H49" s="366">
        <v>3577325.17</v>
      </c>
      <c r="I49" s="366"/>
      <c r="J49" s="380">
        <f t="shared" si="9"/>
        <v>3577325.17</v>
      </c>
      <c r="K49" s="346">
        <f t="shared" si="8"/>
        <v>0.76209854481344008</v>
      </c>
    </row>
    <row r="50" spans="1:11" ht="12.75" x14ac:dyDescent="0.2">
      <c r="A50" s="363">
        <v>2</v>
      </c>
      <c r="B50" s="364">
        <v>1</v>
      </c>
      <c r="C50" s="364">
        <v>2</v>
      </c>
      <c r="D50" s="364">
        <v>2</v>
      </c>
      <c r="E50" s="364" t="s">
        <v>643</v>
      </c>
      <c r="F50" s="367" t="s">
        <v>644</v>
      </c>
      <c r="G50" s="366"/>
      <c r="H50" s="366"/>
      <c r="I50" s="366"/>
      <c r="J50" s="380">
        <f t="shared" si="9"/>
        <v>0</v>
      </c>
      <c r="K50" s="346">
        <f t="shared" si="8"/>
        <v>0</v>
      </c>
    </row>
    <row r="51" spans="1:11" ht="12.75" x14ac:dyDescent="0.2">
      <c r="A51" s="363">
        <v>2</v>
      </c>
      <c r="B51" s="364">
        <v>1</v>
      </c>
      <c r="C51" s="364">
        <v>2</v>
      </c>
      <c r="D51" s="364">
        <v>2</v>
      </c>
      <c r="E51" s="364" t="s">
        <v>623</v>
      </c>
      <c r="F51" s="367" t="s">
        <v>645</v>
      </c>
      <c r="G51" s="366"/>
      <c r="H51" s="366"/>
      <c r="I51" s="366"/>
      <c r="J51" s="380">
        <f t="shared" si="9"/>
        <v>0</v>
      </c>
      <c r="K51" s="346">
        <f t="shared" si="8"/>
        <v>0</v>
      </c>
    </row>
    <row r="52" spans="1:11" ht="12.75" x14ac:dyDescent="0.2">
      <c r="A52" s="363">
        <v>2</v>
      </c>
      <c r="B52" s="364">
        <v>1</v>
      </c>
      <c r="C52" s="364">
        <v>2</v>
      </c>
      <c r="D52" s="364">
        <v>2</v>
      </c>
      <c r="E52" s="364" t="s">
        <v>625</v>
      </c>
      <c r="F52" s="367" t="s">
        <v>646</v>
      </c>
      <c r="G52" s="366"/>
      <c r="H52" s="366"/>
      <c r="I52" s="366"/>
      <c r="J52" s="380">
        <f t="shared" si="9"/>
        <v>0</v>
      </c>
      <c r="K52" s="346">
        <f t="shared" si="8"/>
        <v>0</v>
      </c>
    </row>
    <row r="53" spans="1:11" ht="12.75" x14ac:dyDescent="0.2">
      <c r="A53" s="363">
        <v>2</v>
      </c>
      <c r="B53" s="364">
        <v>1</v>
      </c>
      <c r="C53" s="364">
        <v>2</v>
      </c>
      <c r="D53" s="364">
        <v>2</v>
      </c>
      <c r="E53" s="364" t="s">
        <v>647</v>
      </c>
      <c r="F53" s="367" t="s">
        <v>648</v>
      </c>
      <c r="G53" s="366"/>
      <c r="H53" s="366"/>
      <c r="I53" s="366"/>
      <c r="J53" s="380">
        <f t="shared" si="9"/>
        <v>0</v>
      </c>
      <c r="K53" s="346">
        <f>IFERROR(J53/$J$18*100,"0.00")</f>
        <v>0</v>
      </c>
    </row>
    <row r="54" spans="1:11" ht="12.75" x14ac:dyDescent="0.2">
      <c r="A54" s="355">
        <v>2</v>
      </c>
      <c r="B54" s="356">
        <v>1</v>
      </c>
      <c r="C54" s="356">
        <v>3</v>
      </c>
      <c r="D54" s="356"/>
      <c r="E54" s="356"/>
      <c r="F54" s="357" t="s">
        <v>649</v>
      </c>
      <c r="G54" s="358">
        <f>+G55</f>
        <v>0</v>
      </c>
      <c r="H54" s="358">
        <f>+H55</f>
        <v>0</v>
      </c>
      <c r="I54" s="358">
        <f>+I55</f>
        <v>0</v>
      </c>
      <c r="J54" s="358">
        <f>+J55</f>
        <v>0</v>
      </c>
      <c r="K54" s="358">
        <f>+K55</f>
        <v>0</v>
      </c>
    </row>
    <row r="55" spans="1:11" ht="12.75" x14ac:dyDescent="0.2">
      <c r="A55" s="359">
        <v>2</v>
      </c>
      <c r="B55" s="360">
        <v>1</v>
      </c>
      <c r="C55" s="360">
        <v>3</v>
      </c>
      <c r="D55" s="360">
        <v>2</v>
      </c>
      <c r="E55" s="360"/>
      <c r="F55" s="372" t="s">
        <v>650</v>
      </c>
      <c r="G55" s="362">
        <f>SUM(G56:G57)</f>
        <v>0</v>
      </c>
      <c r="H55" s="362">
        <f>SUM(H56:H57)</f>
        <v>0</v>
      </c>
      <c r="I55" s="362">
        <f>SUM(I56:I57)</f>
        <v>0</v>
      </c>
      <c r="J55" s="362">
        <f>SUM(J56:J57)</f>
        <v>0</v>
      </c>
      <c r="K55" s="53">
        <f>SUM(K56:K57)</f>
        <v>0</v>
      </c>
    </row>
    <row r="56" spans="1:11" ht="12.75" x14ac:dyDescent="0.2">
      <c r="A56" s="363">
        <v>2</v>
      </c>
      <c r="B56" s="364">
        <v>1</v>
      </c>
      <c r="C56" s="364">
        <v>3</v>
      </c>
      <c r="D56" s="364">
        <v>2</v>
      </c>
      <c r="E56" s="364" t="s">
        <v>610</v>
      </c>
      <c r="F56" s="367" t="s">
        <v>651</v>
      </c>
      <c r="G56" s="366"/>
      <c r="H56" s="27"/>
      <c r="I56" s="27"/>
      <c r="J56" s="343">
        <f>SUBTOTAL(9,G56:I56)</f>
        <v>0</v>
      </c>
      <c r="K56" s="346">
        <f>IFERROR(J56/$J$18*100,"0.00")</f>
        <v>0</v>
      </c>
    </row>
    <row r="57" spans="1:11" ht="12.75" x14ac:dyDescent="0.2">
      <c r="A57" s="363">
        <v>2</v>
      </c>
      <c r="B57" s="364">
        <v>1</v>
      </c>
      <c r="C57" s="364">
        <v>3</v>
      </c>
      <c r="D57" s="364">
        <v>2</v>
      </c>
      <c r="E57" s="364" t="s">
        <v>612</v>
      </c>
      <c r="F57" s="367" t="s">
        <v>652</v>
      </c>
      <c r="G57" s="366"/>
      <c r="H57" s="27"/>
      <c r="I57" s="27"/>
      <c r="J57" s="343">
        <f>SUBTOTAL(9,G57:I57)</f>
        <v>0</v>
      </c>
      <c r="K57" s="346">
        <f>IFERROR(J57/$J$18*100,"0.00")</f>
        <v>0</v>
      </c>
    </row>
    <row r="58" spans="1:11" ht="12.75" x14ac:dyDescent="0.2">
      <c r="A58" s="355">
        <v>2</v>
      </c>
      <c r="B58" s="356">
        <v>1</v>
      </c>
      <c r="C58" s="356">
        <v>5</v>
      </c>
      <c r="D58" s="356"/>
      <c r="E58" s="356"/>
      <c r="F58" s="357" t="s">
        <v>653</v>
      </c>
      <c r="G58" s="358">
        <f>G59+G61+G63+G65</f>
        <v>0</v>
      </c>
      <c r="H58" s="358">
        <f>H59+H61+H63+H65</f>
        <v>0</v>
      </c>
      <c r="I58" s="358">
        <f>I59+I61+I63+I65</f>
        <v>0</v>
      </c>
      <c r="J58" s="358">
        <f>J59+J61+J63+J65</f>
        <v>0</v>
      </c>
      <c r="K58" s="358">
        <f>K59+K61+K63+K65</f>
        <v>0</v>
      </c>
    </row>
    <row r="59" spans="1:11" ht="12.75" x14ac:dyDescent="0.2">
      <c r="A59" s="359">
        <v>2</v>
      </c>
      <c r="B59" s="360">
        <v>1</v>
      </c>
      <c r="C59" s="360">
        <v>5</v>
      </c>
      <c r="D59" s="360">
        <v>1</v>
      </c>
      <c r="E59" s="360"/>
      <c r="F59" s="361" t="s">
        <v>654</v>
      </c>
      <c r="G59" s="362">
        <f>G60</f>
        <v>0</v>
      </c>
      <c r="H59" s="362">
        <f>H60</f>
        <v>0</v>
      </c>
      <c r="I59" s="362">
        <f>I60</f>
        <v>0</v>
      </c>
      <c r="J59" s="362">
        <f>J60</f>
        <v>0</v>
      </c>
      <c r="K59" s="53">
        <f>K60</f>
        <v>0</v>
      </c>
    </row>
    <row r="60" spans="1:11" ht="12.75" x14ac:dyDescent="0.2">
      <c r="A60" s="363">
        <v>2</v>
      </c>
      <c r="B60" s="364">
        <v>1</v>
      </c>
      <c r="C60" s="364">
        <v>5</v>
      </c>
      <c r="D60" s="364">
        <v>1</v>
      </c>
      <c r="E60" s="364" t="s">
        <v>610</v>
      </c>
      <c r="F60" s="367" t="s">
        <v>654</v>
      </c>
      <c r="G60" s="366"/>
      <c r="H60" s="27"/>
      <c r="I60" s="27"/>
      <c r="J60" s="343">
        <f>SUBTOTAL(9,G60:I60)</f>
        <v>0</v>
      </c>
      <c r="K60" s="346">
        <f>IFERROR(J60/$J$18*100,"0.00")</f>
        <v>0</v>
      </c>
    </row>
    <row r="61" spans="1:11" ht="12.75" x14ac:dyDescent="0.2">
      <c r="A61" s="359">
        <v>2</v>
      </c>
      <c r="B61" s="360">
        <v>1</v>
      </c>
      <c r="C61" s="360">
        <v>5</v>
      </c>
      <c r="D61" s="360">
        <v>2</v>
      </c>
      <c r="E61" s="360"/>
      <c r="F61" s="372" t="s">
        <v>655</v>
      </c>
      <c r="G61" s="362">
        <f>G62</f>
        <v>0</v>
      </c>
      <c r="H61" s="30">
        <f>H62</f>
        <v>0</v>
      </c>
      <c r="I61" s="30">
        <f>I62</f>
        <v>0</v>
      </c>
      <c r="J61" s="30">
        <f>J62</f>
        <v>0</v>
      </c>
      <c r="K61" s="53">
        <f>K62</f>
        <v>0</v>
      </c>
    </row>
    <row r="62" spans="1:11" ht="12.75" x14ac:dyDescent="0.2">
      <c r="A62" s="363">
        <v>2</v>
      </c>
      <c r="B62" s="364">
        <v>1</v>
      </c>
      <c r="C62" s="364">
        <v>5</v>
      </c>
      <c r="D62" s="364">
        <v>2</v>
      </c>
      <c r="E62" s="364" t="s">
        <v>610</v>
      </c>
      <c r="F62" s="367" t="s">
        <v>655</v>
      </c>
      <c r="G62" s="366"/>
      <c r="H62" s="27"/>
      <c r="I62" s="27"/>
      <c r="J62" s="343">
        <f>SUBTOTAL(9,G62:I62)</f>
        <v>0</v>
      </c>
      <c r="K62" s="346">
        <f>IFERROR(J62/$J$18*100,"0.00")</f>
        <v>0</v>
      </c>
    </row>
    <row r="63" spans="1:11" ht="12.75" x14ac:dyDescent="0.2">
      <c r="A63" s="359">
        <v>2</v>
      </c>
      <c r="B63" s="360">
        <v>1</v>
      </c>
      <c r="C63" s="360">
        <v>5</v>
      </c>
      <c r="D63" s="360">
        <v>3</v>
      </c>
      <c r="E63" s="360"/>
      <c r="F63" s="372" t="s">
        <v>656</v>
      </c>
      <c r="G63" s="362">
        <f>G64</f>
        <v>0</v>
      </c>
      <c r="H63" s="362">
        <f>H64</f>
        <v>0</v>
      </c>
      <c r="I63" s="362">
        <f>I64</f>
        <v>0</v>
      </c>
      <c r="J63" s="362">
        <f>J64</f>
        <v>0</v>
      </c>
      <c r="K63" s="53">
        <f>K64</f>
        <v>0</v>
      </c>
    </row>
    <row r="64" spans="1:11" ht="12.75" x14ac:dyDescent="0.2">
      <c r="A64" s="363">
        <v>2</v>
      </c>
      <c r="B64" s="364">
        <v>1</v>
      </c>
      <c r="C64" s="364">
        <v>5</v>
      </c>
      <c r="D64" s="364">
        <v>3</v>
      </c>
      <c r="E64" s="364" t="s">
        <v>610</v>
      </c>
      <c r="F64" s="367" t="s">
        <v>656</v>
      </c>
      <c r="G64" s="366"/>
      <c r="H64" s="366"/>
      <c r="I64" s="366"/>
      <c r="J64" s="380">
        <f>SUBTOTAL(9,G64:I64)</f>
        <v>0</v>
      </c>
      <c r="K64" s="345">
        <f>IFERROR(J64/$J$18*100,"0.00")</f>
        <v>0</v>
      </c>
    </row>
    <row r="65" spans="1:11" ht="12.75" x14ac:dyDescent="0.2">
      <c r="A65" s="359">
        <v>2</v>
      </c>
      <c r="B65" s="360">
        <v>1</v>
      </c>
      <c r="C65" s="360">
        <v>5</v>
      </c>
      <c r="D65" s="360">
        <v>4</v>
      </c>
      <c r="E65" s="360"/>
      <c r="F65" s="372" t="s">
        <v>657</v>
      </c>
      <c r="G65" s="362">
        <f>G66</f>
        <v>0</v>
      </c>
      <c r="H65" s="362">
        <f>H66</f>
        <v>0</v>
      </c>
      <c r="I65" s="362">
        <f>I66</f>
        <v>0</v>
      </c>
      <c r="J65" s="362">
        <f>J66</f>
        <v>0</v>
      </c>
      <c r="K65" s="53">
        <f>K66</f>
        <v>0</v>
      </c>
    </row>
    <row r="66" spans="1:11" ht="12.75" x14ac:dyDescent="0.2">
      <c r="A66" s="363">
        <v>2</v>
      </c>
      <c r="B66" s="364">
        <v>1</v>
      </c>
      <c r="C66" s="364">
        <v>5</v>
      </c>
      <c r="D66" s="364">
        <v>4</v>
      </c>
      <c r="E66" s="364" t="s">
        <v>610</v>
      </c>
      <c r="F66" s="367" t="s">
        <v>657</v>
      </c>
      <c r="G66" s="366"/>
      <c r="H66" s="27"/>
      <c r="I66" s="27"/>
      <c r="J66" s="343">
        <f>SUBTOTAL(9,G66:I66)</f>
        <v>0</v>
      </c>
      <c r="K66" s="345">
        <f t="shared" ref="K66:K128" si="10">IFERROR(J66/$J$18*100,"0.00")</f>
        <v>0</v>
      </c>
    </row>
    <row r="67" spans="1:11" ht="12.75" x14ac:dyDescent="0.2">
      <c r="A67" s="351">
        <v>2</v>
      </c>
      <c r="B67" s="352">
        <v>2</v>
      </c>
      <c r="C67" s="352"/>
      <c r="D67" s="352"/>
      <c r="E67" s="352"/>
      <c r="F67" s="353" t="s">
        <v>658</v>
      </c>
      <c r="G67" s="354">
        <f>+G68+G82+G87+G92+G99+G116+G125+G143</f>
        <v>451774.4</v>
      </c>
      <c r="H67" s="354">
        <f>+H68+H82+H87+H92+H99+H116+H125+H143</f>
        <v>10020270.6</v>
      </c>
      <c r="I67" s="354">
        <f>+I68+I82+I87+I92+I99+I116+I125+I143</f>
        <v>0</v>
      </c>
      <c r="J67" s="354">
        <f>+J68+J82+J87+J92+J99+J116+J125+J143</f>
        <v>10572045</v>
      </c>
      <c r="K67" s="354">
        <f>+K68+K82+K87+K92+K99+K116+K125+K143</f>
        <v>2.2522247006699154</v>
      </c>
    </row>
    <row r="68" spans="1:11" ht="12.75" x14ac:dyDescent="0.2">
      <c r="A68" s="355">
        <v>2</v>
      </c>
      <c r="B68" s="356">
        <v>2</v>
      </c>
      <c r="C68" s="356">
        <v>1</v>
      </c>
      <c r="D68" s="356"/>
      <c r="E68" s="356"/>
      <c r="F68" s="357" t="s">
        <v>659</v>
      </c>
      <c r="G68" s="358">
        <f>+G69+G71+G73+G75+G78+G80</f>
        <v>451774.4</v>
      </c>
      <c r="H68" s="358">
        <f>+H69+H71+H73+H75+H78+H80</f>
        <v>1205000</v>
      </c>
      <c r="I68" s="358">
        <f>+I69+I71+I73+I75+I78+I80</f>
        <v>0</v>
      </c>
      <c r="J68" s="358">
        <f>+J69+J71+J73+J75+J78+J80</f>
        <v>1656774.4</v>
      </c>
      <c r="K68" s="358">
        <f>+K69+K71+K73+K75+K78+K80</f>
        <v>0.35295235946475628</v>
      </c>
    </row>
    <row r="69" spans="1:11" ht="12.75" x14ac:dyDescent="0.2">
      <c r="A69" s="359">
        <v>2</v>
      </c>
      <c r="B69" s="360">
        <v>2</v>
      </c>
      <c r="C69" s="360">
        <v>1</v>
      </c>
      <c r="D69" s="360">
        <v>2</v>
      </c>
      <c r="E69" s="360"/>
      <c r="F69" s="361" t="s">
        <v>660</v>
      </c>
      <c r="G69" s="362">
        <f>G70</f>
        <v>0</v>
      </c>
      <c r="H69" s="362">
        <f>H70</f>
        <v>0</v>
      </c>
      <c r="I69" s="362">
        <f>I70</f>
        <v>0</v>
      </c>
      <c r="J69" s="362">
        <f>J70</f>
        <v>0</v>
      </c>
      <c r="K69" s="53">
        <f>K70</f>
        <v>0</v>
      </c>
    </row>
    <row r="70" spans="1:11" ht="12.75" x14ac:dyDescent="0.2">
      <c r="A70" s="363">
        <v>2</v>
      </c>
      <c r="B70" s="364">
        <v>2</v>
      </c>
      <c r="C70" s="364">
        <v>1</v>
      </c>
      <c r="D70" s="364">
        <v>2</v>
      </c>
      <c r="E70" s="364" t="s">
        <v>610</v>
      </c>
      <c r="F70" s="367" t="s">
        <v>660</v>
      </c>
      <c r="G70" s="366"/>
      <c r="H70" s="366"/>
      <c r="I70" s="366"/>
      <c r="J70" s="380">
        <f>SUBTOTAL(9,G70:I70)</f>
        <v>0</v>
      </c>
      <c r="K70" s="345">
        <f t="shared" si="10"/>
        <v>0</v>
      </c>
    </row>
    <row r="71" spans="1:11" ht="12.75" x14ac:dyDescent="0.2">
      <c r="A71" s="359">
        <v>2</v>
      </c>
      <c r="B71" s="360">
        <v>2</v>
      </c>
      <c r="C71" s="360">
        <v>1</v>
      </c>
      <c r="D71" s="360">
        <v>3</v>
      </c>
      <c r="E71" s="360"/>
      <c r="F71" s="361" t="s">
        <v>661</v>
      </c>
      <c r="G71" s="362">
        <f>G72</f>
        <v>245000</v>
      </c>
      <c r="H71" s="362">
        <f>H72</f>
        <v>245000</v>
      </c>
      <c r="I71" s="362">
        <f>I72</f>
        <v>0</v>
      </c>
      <c r="J71" s="362">
        <f>J72</f>
        <v>490000</v>
      </c>
      <c r="K71" s="53">
        <f>K72</f>
        <v>0.10438757149901072</v>
      </c>
    </row>
    <row r="72" spans="1:11" ht="12.75" x14ac:dyDescent="0.2">
      <c r="A72" s="363">
        <v>2</v>
      </c>
      <c r="B72" s="364">
        <v>2</v>
      </c>
      <c r="C72" s="364">
        <v>1</v>
      </c>
      <c r="D72" s="364">
        <v>3</v>
      </c>
      <c r="E72" s="364" t="s">
        <v>610</v>
      </c>
      <c r="F72" s="367" t="s">
        <v>661</v>
      </c>
      <c r="G72" s="366">
        <v>245000</v>
      </c>
      <c r="H72" s="27">
        <v>245000</v>
      </c>
      <c r="I72" s="27"/>
      <c r="J72" s="343">
        <f>SUBTOTAL(9,G72:I72)</f>
        <v>490000</v>
      </c>
      <c r="K72" s="345">
        <f t="shared" si="10"/>
        <v>0.10438757149901072</v>
      </c>
    </row>
    <row r="73" spans="1:11" ht="12.75" x14ac:dyDescent="0.2">
      <c r="A73" s="359">
        <v>2</v>
      </c>
      <c r="B73" s="360">
        <v>2</v>
      </c>
      <c r="C73" s="360">
        <v>1</v>
      </c>
      <c r="D73" s="360">
        <v>5</v>
      </c>
      <c r="E73" s="360"/>
      <c r="F73" s="361" t="s">
        <v>662</v>
      </c>
      <c r="G73" s="362">
        <f>G74</f>
        <v>0</v>
      </c>
      <c r="H73" s="362">
        <f>H74</f>
        <v>0</v>
      </c>
      <c r="I73" s="362">
        <f>I74</f>
        <v>0</v>
      </c>
      <c r="J73" s="362">
        <f>J74</f>
        <v>0</v>
      </c>
      <c r="K73" s="53">
        <f>K74</f>
        <v>0</v>
      </c>
    </row>
    <row r="74" spans="1:11" ht="12.75" x14ac:dyDescent="0.2">
      <c r="A74" s="363">
        <v>2</v>
      </c>
      <c r="B74" s="364">
        <v>2</v>
      </c>
      <c r="C74" s="364">
        <v>1</v>
      </c>
      <c r="D74" s="364">
        <v>5</v>
      </c>
      <c r="E74" s="364" t="s">
        <v>610</v>
      </c>
      <c r="F74" s="367" t="s">
        <v>662</v>
      </c>
      <c r="G74" s="366"/>
      <c r="H74" s="27"/>
      <c r="I74" s="27"/>
      <c r="J74" s="343">
        <f>SUBTOTAL(9,G74:I74)</f>
        <v>0</v>
      </c>
      <c r="K74" s="345">
        <f t="shared" si="10"/>
        <v>0</v>
      </c>
    </row>
    <row r="75" spans="1:11" ht="12.75" x14ac:dyDescent="0.2">
      <c r="A75" s="359">
        <v>2</v>
      </c>
      <c r="B75" s="360">
        <v>2</v>
      </c>
      <c r="C75" s="360">
        <v>1</v>
      </c>
      <c r="D75" s="360">
        <v>6</v>
      </c>
      <c r="E75" s="360"/>
      <c r="F75" s="361" t="s">
        <v>663</v>
      </c>
      <c r="G75" s="362">
        <f>G76+G77</f>
        <v>0</v>
      </c>
      <c r="H75" s="362">
        <f>H76+H77</f>
        <v>0</v>
      </c>
      <c r="I75" s="362">
        <f>I76+I77</f>
        <v>0</v>
      </c>
      <c r="J75" s="362">
        <f>J76+J77</f>
        <v>0</v>
      </c>
      <c r="K75" s="53">
        <f>K76+K77</f>
        <v>0</v>
      </c>
    </row>
    <row r="76" spans="1:11" ht="12.75" x14ac:dyDescent="0.2">
      <c r="A76" s="363">
        <v>2</v>
      </c>
      <c r="B76" s="364">
        <v>2</v>
      </c>
      <c r="C76" s="364">
        <v>1</v>
      </c>
      <c r="D76" s="364">
        <v>6</v>
      </c>
      <c r="E76" s="364" t="s">
        <v>610</v>
      </c>
      <c r="F76" s="367" t="s">
        <v>664</v>
      </c>
      <c r="G76" s="373"/>
      <c r="H76" s="27"/>
      <c r="I76" s="27"/>
      <c r="J76" s="343">
        <f>SUBTOTAL(9,G76:I76)</f>
        <v>0</v>
      </c>
      <c r="K76" s="345">
        <f t="shared" si="10"/>
        <v>0</v>
      </c>
    </row>
    <row r="77" spans="1:11" ht="12.75" x14ac:dyDescent="0.2">
      <c r="A77" s="363">
        <v>2</v>
      </c>
      <c r="B77" s="364">
        <v>2</v>
      </c>
      <c r="C77" s="364">
        <v>1</v>
      </c>
      <c r="D77" s="364">
        <v>6</v>
      </c>
      <c r="E77" s="364" t="s">
        <v>612</v>
      </c>
      <c r="F77" s="367" t="s">
        <v>665</v>
      </c>
      <c r="G77" s="373"/>
      <c r="H77" s="27"/>
      <c r="I77" s="27"/>
      <c r="J77" s="343">
        <f>SUBTOTAL(9,G77:I77)</f>
        <v>0</v>
      </c>
      <c r="K77" s="345">
        <f t="shared" si="10"/>
        <v>0</v>
      </c>
    </row>
    <row r="78" spans="1:11" ht="12.75" x14ac:dyDescent="0.2">
      <c r="A78" s="359">
        <v>2</v>
      </c>
      <c r="B78" s="360">
        <v>2</v>
      </c>
      <c r="C78" s="360">
        <v>1</v>
      </c>
      <c r="D78" s="360">
        <v>7</v>
      </c>
      <c r="E78" s="360"/>
      <c r="F78" s="361" t="s">
        <v>666</v>
      </c>
      <c r="G78" s="362">
        <f>G79</f>
        <v>86774.399999999994</v>
      </c>
      <c r="H78" s="362">
        <f>H79</f>
        <v>0</v>
      </c>
      <c r="I78" s="362">
        <f>I79</f>
        <v>0</v>
      </c>
      <c r="J78" s="362">
        <f>J79</f>
        <v>86774.399999999994</v>
      </c>
      <c r="K78" s="53">
        <f>K79</f>
        <v>1.8486058947517866E-2</v>
      </c>
    </row>
    <row r="79" spans="1:11" ht="12.75" x14ac:dyDescent="0.2">
      <c r="A79" s="363">
        <v>2</v>
      </c>
      <c r="B79" s="364">
        <v>2</v>
      </c>
      <c r="C79" s="364">
        <v>1</v>
      </c>
      <c r="D79" s="364">
        <v>7</v>
      </c>
      <c r="E79" s="364" t="s">
        <v>610</v>
      </c>
      <c r="F79" s="367" t="s">
        <v>666</v>
      </c>
      <c r="G79" s="366">
        <v>86774.399999999994</v>
      </c>
      <c r="H79" s="344"/>
      <c r="I79" s="344"/>
      <c r="J79" s="344">
        <f>SUBTOTAL(9,G79:I79)</f>
        <v>86774.399999999994</v>
      </c>
      <c r="K79" s="345">
        <f t="shared" si="10"/>
        <v>1.8486058947517866E-2</v>
      </c>
    </row>
    <row r="80" spans="1:11" ht="12.75" x14ac:dyDescent="0.2">
      <c r="A80" s="359">
        <v>2</v>
      </c>
      <c r="B80" s="360">
        <v>2</v>
      </c>
      <c r="C80" s="360">
        <v>1</v>
      </c>
      <c r="D80" s="360">
        <v>8</v>
      </c>
      <c r="E80" s="360"/>
      <c r="F80" s="361" t="s">
        <v>667</v>
      </c>
      <c r="G80" s="362">
        <f>G81</f>
        <v>120000</v>
      </c>
      <c r="H80" s="362">
        <f>H81</f>
        <v>960000</v>
      </c>
      <c r="I80" s="362">
        <f>I81</f>
        <v>0</v>
      </c>
      <c r="J80" s="362">
        <f>J81</f>
        <v>1080000</v>
      </c>
      <c r="K80" s="53">
        <f>K81</f>
        <v>0.23007872901822771</v>
      </c>
    </row>
    <row r="81" spans="1:11" ht="12.75" x14ac:dyDescent="0.2">
      <c r="A81" s="363">
        <v>2</v>
      </c>
      <c r="B81" s="364">
        <v>2</v>
      </c>
      <c r="C81" s="364">
        <v>1</v>
      </c>
      <c r="D81" s="364">
        <v>8</v>
      </c>
      <c r="E81" s="364" t="s">
        <v>610</v>
      </c>
      <c r="F81" s="367" t="s">
        <v>667</v>
      </c>
      <c r="G81" s="366">
        <v>120000</v>
      </c>
      <c r="H81" s="30">
        <v>960000</v>
      </c>
      <c r="I81" s="30"/>
      <c r="J81" s="344">
        <f>SUBTOTAL(9,G81:I81)</f>
        <v>1080000</v>
      </c>
      <c r="K81" s="345">
        <f t="shared" si="10"/>
        <v>0.23007872901822771</v>
      </c>
    </row>
    <row r="82" spans="1:11" ht="12.75" x14ac:dyDescent="0.2">
      <c r="A82" s="355">
        <v>2</v>
      </c>
      <c r="B82" s="356">
        <v>2</v>
      </c>
      <c r="C82" s="356">
        <v>2</v>
      </c>
      <c r="D82" s="356"/>
      <c r="E82" s="356"/>
      <c r="F82" s="357" t="s">
        <v>668</v>
      </c>
      <c r="G82" s="358">
        <f>+G83+G85</f>
        <v>0</v>
      </c>
      <c r="H82" s="358">
        <v>2749191.6</v>
      </c>
      <c r="I82" s="358">
        <f>+I83+I85</f>
        <v>0</v>
      </c>
      <c r="J82" s="358">
        <f>+J83+J85</f>
        <v>2849191.6</v>
      </c>
      <c r="K82" s="358">
        <f>+K83+K85</f>
        <v>0.6069799833864914</v>
      </c>
    </row>
    <row r="83" spans="1:11" ht="12.75" x14ac:dyDescent="0.2">
      <c r="A83" s="359">
        <v>2</v>
      </c>
      <c r="B83" s="360">
        <v>2</v>
      </c>
      <c r="C83" s="360">
        <v>2</v>
      </c>
      <c r="D83" s="360">
        <v>1</v>
      </c>
      <c r="E83" s="360"/>
      <c r="F83" s="361" t="s">
        <v>669</v>
      </c>
      <c r="G83" s="362">
        <f>G84</f>
        <v>0</v>
      </c>
      <c r="H83" s="362">
        <f>H84</f>
        <v>0</v>
      </c>
      <c r="I83" s="362">
        <f>I84</f>
        <v>0</v>
      </c>
      <c r="J83" s="362">
        <f>J84</f>
        <v>0</v>
      </c>
      <c r="K83" s="53">
        <f>K84</f>
        <v>0</v>
      </c>
    </row>
    <row r="84" spans="1:11" ht="12.75" x14ac:dyDescent="0.2">
      <c r="A84" s="363">
        <v>2</v>
      </c>
      <c r="B84" s="364">
        <v>2</v>
      </c>
      <c r="C84" s="364">
        <v>2</v>
      </c>
      <c r="D84" s="364">
        <v>1</v>
      </c>
      <c r="E84" s="364" t="s">
        <v>610</v>
      </c>
      <c r="F84" s="367" t="s">
        <v>669</v>
      </c>
      <c r="G84" s="366"/>
      <c r="H84" s="27"/>
      <c r="I84" s="27"/>
      <c r="J84" s="343">
        <f>SUBTOTAL(9,G84:I84)</f>
        <v>0</v>
      </c>
      <c r="K84" s="345">
        <f t="shared" si="10"/>
        <v>0</v>
      </c>
    </row>
    <row r="85" spans="1:11" ht="12.75" x14ac:dyDescent="0.2">
      <c r="A85" s="359">
        <v>2</v>
      </c>
      <c r="B85" s="360">
        <v>2</v>
      </c>
      <c r="C85" s="360">
        <v>2</v>
      </c>
      <c r="D85" s="360">
        <v>2</v>
      </c>
      <c r="E85" s="360"/>
      <c r="F85" s="361" t="s">
        <v>670</v>
      </c>
      <c r="G85" s="362">
        <f>G86</f>
        <v>0</v>
      </c>
      <c r="H85" s="30">
        <f>H86</f>
        <v>2849191.6</v>
      </c>
      <c r="I85" s="30">
        <f>I86</f>
        <v>0</v>
      </c>
      <c r="J85" s="30">
        <f>J86</f>
        <v>2849191.6</v>
      </c>
      <c r="K85" s="53">
        <f>K86</f>
        <v>0.6069799833864914</v>
      </c>
    </row>
    <row r="86" spans="1:11" ht="12.75" x14ac:dyDescent="0.2">
      <c r="A86" s="363">
        <v>2</v>
      </c>
      <c r="B86" s="364">
        <v>2</v>
      </c>
      <c r="C86" s="364">
        <v>2</v>
      </c>
      <c r="D86" s="364">
        <v>2</v>
      </c>
      <c r="E86" s="364" t="s">
        <v>610</v>
      </c>
      <c r="F86" s="367" t="s">
        <v>670</v>
      </c>
      <c r="G86" s="366"/>
      <c r="H86" s="27">
        <v>2849191.6</v>
      </c>
      <c r="I86" s="27"/>
      <c r="J86" s="343">
        <f>SUBTOTAL(9,G86:I86)</f>
        <v>2849191.6</v>
      </c>
      <c r="K86" s="345">
        <f t="shared" si="10"/>
        <v>0.6069799833864914</v>
      </c>
    </row>
    <row r="87" spans="1:11" ht="12.75" x14ac:dyDescent="0.2">
      <c r="A87" s="355">
        <v>2</v>
      </c>
      <c r="B87" s="356">
        <v>2</v>
      </c>
      <c r="C87" s="356">
        <v>3</v>
      </c>
      <c r="D87" s="356"/>
      <c r="E87" s="356"/>
      <c r="F87" s="357" t="s">
        <v>671</v>
      </c>
      <c r="G87" s="358">
        <f>+G88+G90</f>
        <v>0</v>
      </c>
      <c r="H87" s="358">
        <f>+H88+H90</f>
        <v>0</v>
      </c>
      <c r="I87" s="358">
        <f>+I88+I90</f>
        <v>0</v>
      </c>
      <c r="J87" s="358">
        <f>+J88+J90</f>
        <v>0</v>
      </c>
      <c r="K87" s="358">
        <f>+K88+K90</f>
        <v>0</v>
      </c>
    </row>
    <row r="88" spans="1:11" ht="12.75" x14ac:dyDescent="0.2">
      <c r="A88" s="359">
        <v>2</v>
      </c>
      <c r="B88" s="360">
        <v>2</v>
      </c>
      <c r="C88" s="360">
        <v>3</v>
      </c>
      <c r="D88" s="360">
        <v>1</v>
      </c>
      <c r="E88" s="360"/>
      <c r="F88" s="361" t="s">
        <v>672</v>
      </c>
      <c r="G88" s="362">
        <f>G89</f>
        <v>0</v>
      </c>
      <c r="H88" s="362">
        <f>H89</f>
        <v>0</v>
      </c>
      <c r="I88" s="362">
        <f>I89</f>
        <v>0</v>
      </c>
      <c r="J88" s="362">
        <f>J89</f>
        <v>0</v>
      </c>
      <c r="K88" s="53">
        <f>K89</f>
        <v>0</v>
      </c>
    </row>
    <row r="89" spans="1:11" ht="12.75" x14ac:dyDescent="0.2">
      <c r="A89" s="363">
        <v>2</v>
      </c>
      <c r="B89" s="364">
        <v>2</v>
      </c>
      <c r="C89" s="364">
        <v>3</v>
      </c>
      <c r="D89" s="364">
        <v>1</v>
      </c>
      <c r="E89" s="364" t="s">
        <v>610</v>
      </c>
      <c r="F89" s="367" t="s">
        <v>672</v>
      </c>
      <c r="G89" s="366"/>
      <c r="H89" s="366"/>
      <c r="I89" s="366"/>
      <c r="J89" s="380">
        <f>SUBTOTAL(9,G89:I89)</f>
        <v>0</v>
      </c>
      <c r="K89" s="345">
        <f t="shared" si="10"/>
        <v>0</v>
      </c>
    </row>
    <row r="90" spans="1:11" ht="12.75" x14ac:dyDescent="0.2">
      <c r="A90" s="359">
        <v>2</v>
      </c>
      <c r="B90" s="360">
        <v>2</v>
      </c>
      <c r="C90" s="360">
        <v>3</v>
      </c>
      <c r="D90" s="360">
        <v>2</v>
      </c>
      <c r="E90" s="360"/>
      <c r="F90" s="361" t="s">
        <v>673</v>
      </c>
      <c r="G90" s="362">
        <f>G91</f>
        <v>0</v>
      </c>
      <c r="H90" s="362">
        <f>H91</f>
        <v>0</v>
      </c>
      <c r="I90" s="362">
        <f>I91</f>
        <v>0</v>
      </c>
      <c r="J90" s="362">
        <f>J91</f>
        <v>0</v>
      </c>
      <c r="K90" s="53">
        <f>K91</f>
        <v>0</v>
      </c>
    </row>
    <row r="91" spans="1:11" ht="12.75" x14ac:dyDescent="0.2">
      <c r="A91" s="363">
        <v>2</v>
      </c>
      <c r="B91" s="364">
        <v>2</v>
      </c>
      <c r="C91" s="364">
        <v>3</v>
      </c>
      <c r="D91" s="364">
        <v>2</v>
      </c>
      <c r="E91" s="364" t="s">
        <v>610</v>
      </c>
      <c r="F91" s="367" t="s">
        <v>673</v>
      </c>
      <c r="G91" s="366"/>
      <c r="H91" s="366"/>
      <c r="I91" s="366"/>
      <c r="J91" s="380">
        <f>SUBTOTAL(9,G91:I91)</f>
        <v>0</v>
      </c>
      <c r="K91" s="345">
        <f t="shared" si="10"/>
        <v>0</v>
      </c>
    </row>
    <row r="92" spans="1:11" ht="12.75" x14ac:dyDescent="0.2">
      <c r="A92" s="355">
        <v>2</v>
      </c>
      <c r="B92" s="356">
        <v>2</v>
      </c>
      <c r="C92" s="356">
        <v>4</v>
      </c>
      <c r="D92" s="356"/>
      <c r="E92" s="356"/>
      <c r="F92" s="357" t="s">
        <v>674</v>
      </c>
      <c r="G92" s="358">
        <f>+G93+G95+G97</f>
        <v>0</v>
      </c>
      <c r="H92" s="358">
        <f>+H93+H95+H97</f>
        <v>136000</v>
      </c>
      <c r="I92" s="358">
        <f>+I93+I95+I97</f>
        <v>0</v>
      </c>
      <c r="J92" s="358">
        <f>+J93+J95+J97</f>
        <v>136000</v>
      </c>
      <c r="K92" s="358">
        <f>+K93+K95+K97</f>
        <v>2.8972876987480523E-2</v>
      </c>
    </row>
    <row r="93" spans="1:11" ht="12.75" x14ac:dyDescent="0.2">
      <c r="A93" s="359">
        <v>2</v>
      </c>
      <c r="B93" s="360">
        <v>2</v>
      </c>
      <c r="C93" s="360">
        <v>4</v>
      </c>
      <c r="D93" s="360">
        <v>1</v>
      </c>
      <c r="E93" s="360"/>
      <c r="F93" s="372" t="s">
        <v>675</v>
      </c>
      <c r="G93" s="362">
        <f>G94</f>
        <v>0</v>
      </c>
      <c r="H93" s="362">
        <f>H94</f>
        <v>0</v>
      </c>
      <c r="I93" s="362">
        <f>I94</f>
        <v>0</v>
      </c>
      <c r="J93" s="362">
        <f>J94</f>
        <v>0</v>
      </c>
      <c r="K93" s="53">
        <f>K94</f>
        <v>0</v>
      </c>
    </row>
    <row r="94" spans="1:11" ht="12.75" x14ac:dyDescent="0.2">
      <c r="A94" s="363">
        <v>2</v>
      </c>
      <c r="B94" s="364">
        <v>2</v>
      </c>
      <c r="C94" s="364">
        <v>4</v>
      </c>
      <c r="D94" s="364">
        <v>1</v>
      </c>
      <c r="E94" s="364" t="s">
        <v>610</v>
      </c>
      <c r="F94" s="365" t="s">
        <v>675</v>
      </c>
      <c r="G94" s="366"/>
      <c r="H94" s="27"/>
      <c r="I94" s="27"/>
      <c r="J94" s="343">
        <f>SUBTOTAL(9,G94:I94)</f>
        <v>0</v>
      </c>
      <c r="K94" s="345">
        <f t="shared" si="10"/>
        <v>0</v>
      </c>
    </row>
    <row r="95" spans="1:11" ht="12.75" x14ac:dyDescent="0.2">
      <c r="A95" s="359">
        <v>2</v>
      </c>
      <c r="B95" s="360">
        <v>2</v>
      </c>
      <c r="C95" s="360">
        <v>4</v>
      </c>
      <c r="D95" s="360">
        <v>2</v>
      </c>
      <c r="E95" s="360"/>
      <c r="F95" s="372" t="s">
        <v>676</v>
      </c>
      <c r="G95" s="362">
        <f>G96</f>
        <v>0</v>
      </c>
      <c r="H95" s="362">
        <f>H96</f>
        <v>136000</v>
      </c>
      <c r="I95" s="362">
        <f>I96</f>
        <v>0</v>
      </c>
      <c r="J95" s="362">
        <f>J96</f>
        <v>136000</v>
      </c>
      <c r="K95" s="53">
        <f>K96</f>
        <v>2.8972876987480523E-2</v>
      </c>
    </row>
    <row r="96" spans="1:11" ht="12.75" x14ac:dyDescent="0.2">
      <c r="A96" s="363">
        <v>2</v>
      </c>
      <c r="B96" s="364">
        <v>2</v>
      </c>
      <c r="C96" s="364">
        <v>4</v>
      </c>
      <c r="D96" s="364">
        <v>2</v>
      </c>
      <c r="E96" s="364" t="s">
        <v>610</v>
      </c>
      <c r="F96" s="367" t="s">
        <v>676</v>
      </c>
      <c r="G96" s="366"/>
      <c r="H96" s="27">
        <v>136000</v>
      </c>
      <c r="I96" s="27"/>
      <c r="J96" s="343">
        <f>SUBTOTAL(9,G96:I96)</f>
        <v>136000</v>
      </c>
      <c r="K96" s="345">
        <f t="shared" si="10"/>
        <v>2.8972876987480523E-2</v>
      </c>
    </row>
    <row r="97" spans="1:11" ht="12.75" x14ac:dyDescent="0.2">
      <c r="A97" s="359">
        <v>2</v>
      </c>
      <c r="B97" s="360">
        <v>2</v>
      </c>
      <c r="C97" s="360">
        <v>4</v>
      </c>
      <c r="D97" s="360">
        <v>4</v>
      </c>
      <c r="E97" s="360"/>
      <c r="F97" s="372" t="s">
        <v>677</v>
      </c>
      <c r="G97" s="362">
        <f>G98</f>
        <v>0</v>
      </c>
      <c r="H97" s="362">
        <f>H98</f>
        <v>0</v>
      </c>
      <c r="I97" s="362">
        <f>I98</f>
        <v>0</v>
      </c>
      <c r="J97" s="362">
        <f>J98</f>
        <v>0</v>
      </c>
      <c r="K97" s="53">
        <f>K98</f>
        <v>0</v>
      </c>
    </row>
    <row r="98" spans="1:11" ht="12.75" x14ac:dyDescent="0.2">
      <c r="A98" s="363">
        <v>2</v>
      </c>
      <c r="B98" s="364">
        <v>2</v>
      </c>
      <c r="C98" s="364">
        <v>4</v>
      </c>
      <c r="D98" s="364">
        <v>4</v>
      </c>
      <c r="E98" s="364" t="s">
        <v>610</v>
      </c>
      <c r="F98" s="367" t="s">
        <v>677</v>
      </c>
      <c r="G98" s="366"/>
      <c r="H98" s="27"/>
      <c r="I98" s="27"/>
      <c r="J98" s="343">
        <f>SUBTOTAL(9,G98:I98)</f>
        <v>0</v>
      </c>
      <c r="K98" s="53">
        <f t="shared" si="10"/>
        <v>0</v>
      </c>
    </row>
    <row r="99" spans="1:11" ht="12.75" x14ac:dyDescent="0.2">
      <c r="A99" s="355">
        <v>2</v>
      </c>
      <c r="B99" s="356">
        <v>2</v>
      </c>
      <c r="C99" s="356">
        <v>5</v>
      </c>
      <c r="D99" s="356"/>
      <c r="E99" s="356"/>
      <c r="F99" s="357" t="s">
        <v>678</v>
      </c>
      <c r="G99" s="358">
        <f>+G100+G102+G104+G110+G112</f>
        <v>0</v>
      </c>
      <c r="H99" s="358">
        <f>+H100+H102+H104+H110+H112</f>
        <v>514680</v>
      </c>
      <c r="I99" s="358">
        <f>+I100+I102+I104+I110+I112</f>
        <v>0</v>
      </c>
      <c r="J99" s="358">
        <f>+J100+J102+J104+J110+J112</f>
        <v>514680</v>
      </c>
      <c r="K99" s="358">
        <f>+K100+K102+K104+K110+K112</f>
        <v>0.10964529652879762</v>
      </c>
    </row>
    <row r="100" spans="1:11" ht="12.75" x14ac:dyDescent="0.2">
      <c r="A100" s="359">
        <v>2</v>
      </c>
      <c r="B100" s="360">
        <v>2</v>
      </c>
      <c r="C100" s="360">
        <v>5</v>
      </c>
      <c r="D100" s="360">
        <v>1</v>
      </c>
      <c r="E100" s="360"/>
      <c r="F100" s="372" t="s">
        <v>679</v>
      </c>
      <c r="G100" s="362">
        <f>G101</f>
        <v>0</v>
      </c>
      <c r="H100" s="362">
        <f>H101</f>
        <v>0</v>
      </c>
      <c r="I100" s="362">
        <f>I101</f>
        <v>0</v>
      </c>
      <c r="J100" s="362">
        <f>J101</f>
        <v>0</v>
      </c>
      <c r="K100" s="53">
        <f>K101</f>
        <v>0</v>
      </c>
    </row>
    <row r="101" spans="1:11" ht="12.75" x14ac:dyDescent="0.2">
      <c r="A101" s="363">
        <v>2</v>
      </c>
      <c r="B101" s="364">
        <v>2</v>
      </c>
      <c r="C101" s="364">
        <v>5</v>
      </c>
      <c r="D101" s="364">
        <v>1</v>
      </c>
      <c r="E101" s="364" t="s">
        <v>610</v>
      </c>
      <c r="F101" s="367" t="s">
        <v>679</v>
      </c>
      <c r="G101" s="366"/>
      <c r="H101" s="28"/>
      <c r="I101" s="28"/>
      <c r="J101" s="343">
        <f>SUBTOTAL(9,G101:I101)</f>
        <v>0</v>
      </c>
      <c r="K101" s="345">
        <f t="shared" si="10"/>
        <v>0</v>
      </c>
    </row>
    <row r="102" spans="1:11" ht="12.75" x14ac:dyDescent="0.2">
      <c r="A102" s="359">
        <v>2</v>
      </c>
      <c r="B102" s="360">
        <v>2</v>
      </c>
      <c r="C102" s="360">
        <v>5</v>
      </c>
      <c r="D102" s="360">
        <v>2</v>
      </c>
      <c r="E102" s="360"/>
      <c r="F102" s="361" t="s">
        <v>680</v>
      </c>
      <c r="G102" s="362">
        <f>G103</f>
        <v>0</v>
      </c>
      <c r="H102" s="362">
        <f>H103</f>
        <v>0</v>
      </c>
      <c r="I102" s="362">
        <f>I103</f>
        <v>0</v>
      </c>
      <c r="J102" s="362">
        <f>J103</f>
        <v>0</v>
      </c>
      <c r="K102" s="53">
        <f>K103</f>
        <v>0</v>
      </c>
    </row>
    <row r="103" spans="1:11" ht="12.75" x14ac:dyDescent="0.2">
      <c r="A103" s="363">
        <v>2</v>
      </c>
      <c r="B103" s="364">
        <v>2</v>
      </c>
      <c r="C103" s="364">
        <v>5</v>
      </c>
      <c r="D103" s="364">
        <v>2</v>
      </c>
      <c r="E103" s="364" t="s">
        <v>610</v>
      </c>
      <c r="F103" s="367" t="s">
        <v>680</v>
      </c>
      <c r="G103" s="366"/>
      <c r="H103" s="27"/>
      <c r="I103" s="27"/>
      <c r="J103" s="343">
        <f>SUBTOTAL(9,G103:I103)</f>
        <v>0</v>
      </c>
      <c r="K103" s="345">
        <f t="shared" si="10"/>
        <v>0</v>
      </c>
    </row>
    <row r="104" spans="1:11" ht="12.75" x14ac:dyDescent="0.2">
      <c r="A104" s="359">
        <v>2</v>
      </c>
      <c r="B104" s="360">
        <v>2</v>
      </c>
      <c r="C104" s="360">
        <v>5</v>
      </c>
      <c r="D104" s="360">
        <v>3</v>
      </c>
      <c r="E104" s="360"/>
      <c r="F104" s="361" t="s">
        <v>681</v>
      </c>
      <c r="G104" s="362">
        <f>SUM(G105:G109)</f>
        <v>0</v>
      </c>
      <c r="H104" s="362">
        <f>SUM(H105:H109)</f>
        <v>514680</v>
      </c>
      <c r="I104" s="362">
        <f>SUM(I105:I109)</f>
        <v>0</v>
      </c>
      <c r="J104" s="362">
        <f>SUM(J105:J109)</f>
        <v>514680</v>
      </c>
      <c r="K104" s="53">
        <f>SUM(K105:K109)</f>
        <v>0.10964529652879762</v>
      </c>
    </row>
    <row r="105" spans="1:11" ht="12.75" x14ac:dyDescent="0.2">
      <c r="A105" s="363">
        <v>2</v>
      </c>
      <c r="B105" s="364">
        <v>2</v>
      </c>
      <c r="C105" s="364">
        <v>5</v>
      </c>
      <c r="D105" s="364">
        <v>3</v>
      </c>
      <c r="E105" s="364" t="s">
        <v>610</v>
      </c>
      <c r="F105" s="367" t="s">
        <v>682</v>
      </c>
      <c r="G105" s="366"/>
      <c r="H105" s="366"/>
      <c r="I105" s="366"/>
      <c r="J105" s="380">
        <f>SUBTOTAL(9,G105:I105)</f>
        <v>0</v>
      </c>
      <c r="K105" s="345">
        <f t="shared" si="10"/>
        <v>0</v>
      </c>
    </row>
    <row r="106" spans="1:11" ht="12.75" x14ac:dyDescent="0.2">
      <c r="A106" s="363">
        <v>2</v>
      </c>
      <c r="B106" s="364">
        <v>2</v>
      </c>
      <c r="C106" s="364">
        <v>5</v>
      </c>
      <c r="D106" s="364">
        <v>3</v>
      </c>
      <c r="E106" s="364" t="s">
        <v>612</v>
      </c>
      <c r="F106" s="367" t="s">
        <v>683</v>
      </c>
      <c r="G106" s="366"/>
      <c r="H106" s="366">
        <v>514680</v>
      </c>
      <c r="I106" s="366"/>
      <c r="J106" s="380">
        <f t="shared" ref="J106:J111" si="11">SUBTOTAL(9,G106:I106)</f>
        <v>514680</v>
      </c>
      <c r="K106" s="345">
        <f t="shared" si="10"/>
        <v>0.10964529652879762</v>
      </c>
    </row>
    <row r="107" spans="1:11" ht="12.75" x14ac:dyDescent="0.2">
      <c r="A107" s="363">
        <v>2</v>
      </c>
      <c r="B107" s="364">
        <v>2</v>
      </c>
      <c r="C107" s="364">
        <v>5</v>
      </c>
      <c r="D107" s="364">
        <v>3</v>
      </c>
      <c r="E107" s="364" t="s">
        <v>619</v>
      </c>
      <c r="F107" s="367" t="s">
        <v>684</v>
      </c>
      <c r="G107" s="366"/>
      <c r="H107" s="366"/>
      <c r="I107" s="366"/>
      <c r="J107" s="380">
        <f t="shared" si="11"/>
        <v>0</v>
      </c>
      <c r="K107" s="345">
        <f t="shared" si="10"/>
        <v>0</v>
      </c>
    </row>
    <row r="108" spans="1:11" ht="12.75" x14ac:dyDescent="0.2">
      <c r="A108" s="363">
        <v>2</v>
      </c>
      <c r="B108" s="364">
        <v>2</v>
      </c>
      <c r="C108" s="364">
        <v>5</v>
      </c>
      <c r="D108" s="364">
        <v>3</v>
      </c>
      <c r="E108" s="364" t="s">
        <v>634</v>
      </c>
      <c r="F108" s="367" t="s">
        <v>685</v>
      </c>
      <c r="G108" s="366"/>
      <c r="H108" s="366"/>
      <c r="I108" s="366"/>
      <c r="J108" s="380">
        <f t="shared" si="11"/>
        <v>0</v>
      </c>
      <c r="K108" s="345">
        <f t="shared" si="10"/>
        <v>0</v>
      </c>
    </row>
    <row r="109" spans="1:11" ht="12.75" x14ac:dyDescent="0.2">
      <c r="A109" s="363">
        <v>2</v>
      </c>
      <c r="B109" s="364">
        <v>2</v>
      </c>
      <c r="C109" s="364">
        <v>5</v>
      </c>
      <c r="D109" s="364">
        <v>3</v>
      </c>
      <c r="E109" s="364" t="s">
        <v>614</v>
      </c>
      <c r="F109" s="367" t="s">
        <v>686</v>
      </c>
      <c r="G109" s="366"/>
      <c r="H109" s="366"/>
      <c r="I109" s="366"/>
      <c r="J109" s="380">
        <f t="shared" si="11"/>
        <v>0</v>
      </c>
      <c r="K109" s="345">
        <f t="shared" si="10"/>
        <v>0</v>
      </c>
    </row>
    <row r="110" spans="1:11" ht="12.75" x14ac:dyDescent="0.2">
      <c r="A110" s="359">
        <v>2</v>
      </c>
      <c r="B110" s="360">
        <v>2</v>
      </c>
      <c r="C110" s="360">
        <v>5</v>
      </c>
      <c r="D110" s="360">
        <v>4</v>
      </c>
      <c r="E110" s="360"/>
      <c r="F110" s="372" t="s">
        <v>687</v>
      </c>
      <c r="G110" s="362">
        <f>G111</f>
        <v>0</v>
      </c>
      <c r="H110" s="362">
        <f>H111</f>
        <v>0</v>
      </c>
      <c r="I110" s="362">
        <f>I111</f>
        <v>0</v>
      </c>
      <c r="J110" s="362">
        <f>J111</f>
        <v>0</v>
      </c>
      <c r="K110" s="53">
        <f>K111</f>
        <v>0</v>
      </c>
    </row>
    <row r="111" spans="1:11" ht="12.75" x14ac:dyDescent="0.2">
      <c r="A111" s="363">
        <v>2</v>
      </c>
      <c r="B111" s="364">
        <v>2</v>
      </c>
      <c r="C111" s="364">
        <v>5</v>
      </c>
      <c r="D111" s="364">
        <v>4</v>
      </c>
      <c r="E111" s="364" t="s">
        <v>610</v>
      </c>
      <c r="F111" s="367" t="s">
        <v>687</v>
      </c>
      <c r="G111" s="366"/>
      <c r="H111" s="366"/>
      <c r="I111" s="366"/>
      <c r="J111" s="380">
        <f t="shared" si="11"/>
        <v>0</v>
      </c>
      <c r="K111" s="345">
        <f t="shared" si="10"/>
        <v>0</v>
      </c>
    </row>
    <row r="112" spans="1:11" ht="12.75" x14ac:dyDescent="0.2">
      <c r="A112" s="359">
        <v>2</v>
      </c>
      <c r="B112" s="360">
        <v>2</v>
      </c>
      <c r="C112" s="360">
        <v>5</v>
      </c>
      <c r="D112" s="360">
        <v>8</v>
      </c>
      <c r="E112" s="360"/>
      <c r="F112" s="361" t="s">
        <v>688</v>
      </c>
      <c r="G112" s="362">
        <f>G113</f>
        <v>0</v>
      </c>
      <c r="H112" s="30">
        <f>H113</f>
        <v>0</v>
      </c>
      <c r="I112" s="30">
        <f>I113</f>
        <v>0</v>
      </c>
      <c r="J112" s="30">
        <f>J113</f>
        <v>0</v>
      </c>
      <c r="K112" s="345">
        <f t="shared" si="10"/>
        <v>0</v>
      </c>
    </row>
    <row r="113" spans="1:11" ht="12.75" x14ac:dyDescent="0.2">
      <c r="A113" s="363">
        <v>2</v>
      </c>
      <c r="B113" s="364">
        <v>2</v>
      </c>
      <c r="C113" s="364">
        <v>5</v>
      </c>
      <c r="D113" s="364">
        <v>8</v>
      </c>
      <c r="E113" s="364" t="s">
        <v>610</v>
      </c>
      <c r="F113" s="367" t="s">
        <v>688</v>
      </c>
      <c r="G113" s="366"/>
      <c r="H113" s="27"/>
      <c r="I113" s="27"/>
      <c r="J113" s="343">
        <f>SUBTOTAL(9,G113:I113)</f>
        <v>0</v>
      </c>
      <c r="K113" s="345">
        <f t="shared" si="10"/>
        <v>0</v>
      </c>
    </row>
    <row r="114" spans="1:11" ht="12.75" x14ac:dyDescent="0.2">
      <c r="A114" s="359">
        <v>2</v>
      </c>
      <c r="B114" s="360">
        <v>2</v>
      </c>
      <c r="C114" s="360">
        <v>5</v>
      </c>
      <c r="D114" s="360">
        <v>9</v>
      </c>
      <c r="E114" s="360"/>
      <c r="F114" s="361" t="s">
        <v>854</v>
      </c>
      <c r="G114" s="374">
        <f>+G115</f>
        <v>0</v>
      </c>
      <c r="H114" s="374">
        <f>+H115</f>
        <v>144000</v>
      </c>
      <c r="I114" s="374">
        <f>+I115</f>
        <v>0</v>
      </c>
      <c r="J114" s="374">
        <f>+J115</f>
        <v>144000</v>
      </c>
      <c r="K114" s="53">
        <f>+K115</f>
        <v>3.0677163869097031E-2</v>
      </c>
    </row>
    <row r="115" spans="1:11" ht="12.75" x14ac:dyDescent="0.2">
      <c r="A115" s="363">
        <v>2</v>
      </c>
      <c r="B115" s="364">
        <v>2</v>
      </c>
      <c r="C115" s="364">
        <v>5</v>
      </c>
      <c r="D115" s="364">
        <v>9</v>
      </c>
      <c r="E115" s="364" t="s">
        <v>610</v>
      </c>
      <c r="F115" s="367" t="s">
        <v>690</v>
      </c>
      <c r="G115" s="366"/>
      <c r="H115" s="27">
        <v>144000</v>
      </c>
      <c r="I115" s="27"/>
      <c r="J115" s="343">
        <f>SUBTOTAL(9,G115:I115)</f>
        <v>144000</v>
      </c>
      <c r="K115" s="345">
        <f t="shared" si="10"/>
        <v>3.0677163869097031E-2</v>
      </c>
    </row>
    <row r="116" spans="1:11" ht="12.75" x14ac:dyDescent="0.2">
      <c r="A116" s="355">
        <v>2</v>
      </c>
      <c r="B116" s="356">
        <v>2</v>
      </c>
      <c r="C116" s="356">
        <v>6</v>
      </c>
      <c r="D116" s="356"/>
      <c r="E116" s="356"/>
      <c r="F116" s="357" t="s">
        <v>691</v>
      </c>
      <c r="G116" s="358">
        <f>+G117+G119+G121+G123</f>
        <v>0</v>
      </c>
      <c r="H116" s="32">
        <f>+H117+H119+H121+H123</f>
        <v>0</v>
      </c>
      <c r="I116" s="32">
        <f>+I117+I119+I121+I123</f>
        <v>0</v>
      </c>
      <c r="J116" s="32">
        <f>+J117+J119+J121+J123</f>
        <v>0</v>
      </c>
      <c r="K116" s="32">
        <f>+K117+K119+K121+K123</f>
        <v>0</v>
      </c>
    </row>
    <row r="117" spans="1:11" ht="12.75" x14ac:dyDescent="0.2">
      <c r="A117" s="359">
        <v>2</v>
      </c>
      <c r="B117" s="360">
        <v>2</v>
      </c>
      <c r="C117" s="360">
        <v>6</v>
      </c>
      <c r="D117" s="360">
        <v>1</v>
      </c>
      <c r="E117" s="360"/>
      <c r="F117" s="372" t="s">
        <v>692</v>
      </c>
      <c r="G117" s="362">
        <f>G118</f>
        <v>0</v>
      </c>
      <c r="H117" s="362">
        <f>H118</f>
        <v>0</v>
      </c>
      <c r="I117" s="362">
        <f>I118</f>
        <v>0</v>
      </c>
      <c r="J117" s="362">
        <f>J118</f>
        <v>0</v>
      </c>
      <c r="K117" s="53">
        <f>K118</f>
        <v>0</v>
      </c>
    </row>
    <row r="118" spans="1:11" ht="12.75" x14ac:dyDescent="0.2">
      <c r="A118" s="363">
        <v>2</v>
      </c>
      <c r="B118" s="364">
        <v>2</v>
      </c>
      <c r="C118" s="364">
        <v>6</v>
      </c>
      <c r="D118" s="364">
        <v>1</v>
      </c>
      <c r="E118" s="364" t="s">
        <v>610</v>
      </c>
      <c r="F118" s="367" t="s">
        <v>692</v>
      </c>
      <c r="G118" s="366"/>
      <c r="H118" s="27"/>
      <c r="I118" s="27"/>
      <c r="J118" s="343">
        <f>SUBTOTAL(9,G118:I118)</f>
        <v>0</v>
      </c>
      <c r="K118" s="345">
        <f t="shared" si="10"/>
        <v>0</v>
      </c>
    </row>
    <row r="119" spans="1:11" ht="12.75" x14ac:dyDescent="0.2">
      <c r="A119" s="359">
        <v>2</v>
      </c>
      <c r="B119" s="360">
        <v>2</v>
      </c>
      <c r="C119" s="360">
        <v>6</v>
      </c>
      <c r="D119" s="360">
        <v>2</v>
      </c>
      <c r="E119" s="360"/>
      <c r="F119" s="372" t="s">
        <v>693</v>
      </c>
      <c r="G119" s="362">
        <f>G120</f>
        <v>0</v>
      </c>
      <c r="H119" s="362">
        <f>H120</f>
        <v>0</v>
      </c>
      <c r="I119" s="362">
        <f>I120</f>
        <v>0</v>
      </c>
      <c r="J119" s="362">
        <f>J120</f>
        <v>0</v>
      </c>
      <c r="K119" s="53">
        <f>K120</f>
        <v>0</v>
      </c>
    </row>
    <row r="120" spans="1:11" ht="12.75" x14ac:dyDescent="0.2">
      <c r="A120" s="363">
        <v>2</v>
      </c>
      <c r="B120" s="364">
        <v>2</v>
      </c>
      <c r="C120" s="364">
        <v>6</v>
      </c>
      <c r="D120" s="364">
        <v>2</v>
      </c>
      <c r="E120" s="364" t="s">
        <v>610</v>
      </c>
      <c r="F120" s="367" t="s">
        <v>693</v>
      </c>
      <c r="G120" s="366"/>
      <c r="H120" s="27"/>
      <c r="I120" s="27"/>
      <c r="J120" s="343">
        <f>SUBTOTAL(9,G120:I120)</f>
        <v>0</v>
      </c>
      <c r="K120" s="345">
        <f t="shared" si="10"/>
        <v>0</v>
      </c>
    </row>
    <row r="121" spans="1:11" ht="12.75" x14ac:dyDescent="0.2">
      <c r="A121" s="359">
        <v>2</v>
      </c>
      <c r="B121" s="360">
        <v>2</v>
      </c>
      <c r="C121" s="360">
        <v>6</v>
      </c>
      <c r="D121" s="360">
        <v>3</v>
      </c>
      <c r="E121" s="360"/>
      <c r="F121" s="372" t="s">
        <v>694</v>
      </c>
      <c r="G121" s="362">
        <f>G122</f>
        <v>0</v>
      </c>
      <c r="H121" s="362">
        <f>H122</f>
        <v>0</v>
      </c>
      <c r="I121" s="362">
        <f>I122</f>
        <v>0</v>
      </c>
      <c r="J121" s="362">
        <f>J122</f>
        <v>0</v>
      </c>
      <c r="K121" s="53">
        <f>K122</f>
        <v>0</v>
      </c>
    </row>
    <row r="122" spans="1:11" ht="12.75" x14ac:dyDescent="0.2">
      <c r="A122" s="363">
        <v>2</v>
      </c>
      <c r="B122" s="364">
        <v>2</v>
      </c>
      <c r="C122" s="364">
        <v>6</v>
      </c>
      <c r="D122" s="364">
        <v>3</v>
      </c>
      <c r="E122" s="364" t="s">
        <v>610</v>
      </c>
      <c r="F122" s="367" t="s">
        <v>694</v>
      </c>
      <c r="G122" s="366"/>
      <c r="H122" s="27"/>
      <c r="I122" s="27"/>
      <c r="J122" s="343">
        <f>SUBTOTAL(9,G122:I122)</f>
        <v>0</v>
      </c>
      <c r="K122" s="345">
        <f t="shared" si="10"/>
        <v>0</v>
      </c>
    </row>
    <row r="123" spans="1:11" ht="12.75" x14ac:dyDescent="0.2">
      <c r="A123" s="359">
        <v>2</v>
      </c>
      <c r="B123" s="360">
        <v>2</v>
      </c>
      <c r="C123" s="360">
        <v>6</v>
      </c>
      <c r="D123" s="360">
        <v>9</v>
      </c>
      <c r="E123" s="360"/>
      <c r="F123" s="361" t="s">
        <v>695</v>
      </c>
      <c r="G123" s="374">
        <f>+G124</f>
        <v>0</v>
      </c>
      <c r="H123" s="374">
        <f>+H124</f>
        <v>0</v>
      </c>
      <c r="I123" s="374">
        <f>+I124</f>
        <v>0</v>
      </c>
      <c r="J123" s="374">
        <f>+J124</f>
        <v>0</v>
      </c>
      <c r="K123" s="53">
        <f>+K124</f>
        <v>0</v>
      </c>
    </row>
    <row r="124" spans="1:11" ht="12.75" x14ac:dyDescent="0.2">
      <c r="A124" s="363">
        <v>2</v>
      </c>
      <c r="B124" s="364">
        <v>2</v>
      </c>
      <c r="C124" s="364">
        <v>6</v>
      </c>
      <c r="D124" s="364">
        <v>9</v>
      </c>
      <c r="E124" s="364" t="s">
        <v>610</v>
      </c>
      <c r="F124" s="367" t="s">
        <v>695</v>
      </c>
      <c r="G124" s="366"/>
      <c r="H124" s="27"/>
      <c r="I124" s="27"/>
      <c r="J124" s="343">
        <f>SUBTOTAL(9,G124:I124)</f>
        <v>0</v>
      </c>
      <c r="K124" s="345">
        <f t="shared" si="10"/>
        <v>0</v>
      </c>
    </row>
    <row r="125" spans="1:11" ht="12.75" x14ac:dyDescent="0.2">
      <c r="A125" s="355">
        <v>2</v>
      </c>
      <c r="B125" s="356">
        <v>2</v>
      </c>
      <c r="C125" s="356">
        <v>7</v>
      </c>
      <c r="D125" s="356"/>
      <c r="E125" s="356"/>
      <c r="F125" s="357" t="s">
        <v>696</v>
      </c>
      <c r="G125" s="358">
        <f>+G126+G131+G141</f>
        <v>0</v>
      </c>
      <c r="H125" s="358">
        <f>+H126+H131+H141</f>
        <v>4935000</v>
      </c>
      <c r="I125" s="358">
        <f>+I126+I131+I141</f>
        <v>0</v>
      </c>
      <c r="J125" s="358">
        <f>+J126+J131+J141</f>
        <v>4935000</v>
      </c>
      <c r="K125" s="358">
        <f>+K126+K131+K141</f>
        <v>1.0513319700971793</v>
      </c>
    </row>
    <row r="126" spans="1:11" ht="12.75" x14ac:dyDescent="0.2">
      <c r="A126" s="359">
        <v>2</v>
      </c>
      <c r="B126" s="360">
        <v>2</v>
      </c>
      <c r="C126" s="360">
        <v>7</v>
      </c>
      <c r="D126" s="360">
        <v>1</v>
      </c>
      <c r="E126" s="360"/>
      <c r="F126" s="361" t="s">
        <v>697</v>
      </c>
      <c r="G126" s="362">
        <f>SUM(G127:G130)</f>
        <v>0</v>
      </c>
      <c r="H126" s="362">
        <f>SUM(H127:H130)</f>
        <v>2935000</v>
      </c>
      <c r="I126" s="362">
        <f>SUM(I127:I130)</f>
        <v>0</v>
      </c>
      <c r="J126" s="362">
        <f>SUM(J127:J130)</f>
        <v>2935000</v>
      </c>
      <c r="K126" s="53">
        <f>SUM(K127:K130)</f>
        <v>0.62526024969305394</v>
      </c>
    </row>
    <row r="127" spans="1:11" ht="12.75" x14ac:dyDescent="0.2">
      <c r="A127" s="363">
        <v>2</v>
      </c>
      <c r="B127" s="364">
        <v>2</v>
      </c>
      <c r="C127" s="364">
        <v>7</v>
      </c>
      <c r="D127" s="364">
        <v>1</v>
      </c>
      <c r="E127" s="364" t="s">
        <v>610</v>
      </c>
      <c r="F127" s="367" t="s">
        <v>698</v>
      </c>
      <c r="G127" s="366"/>
      <c r="H127" s="366">
        <v>2935000</v>
      </c>
      <c r="I127" s="366"/>
      <c r="J127" s="343">
        <f>SUBTOTAL(9,G127:I127)</f>
        <v>2935000</v>
      </c>
      <c r="K127" s="345">
        <f t="shared" si="10"/>
        <v>0.62526024969305394</v>
      </c>
    </row>
    <row r="128" spans="1:11" ht="12.75" x14ac:dyDescent="0.2">
      <c r="A128" s="363">
        <v>2</v>
      </c>
      <c r="B128" s="364">
        <v>2</v>
      </c>
      <c r="C128" s="364">
        <v>7</v>
      </c>
      <c r="D128" s="364">
        <v>1</v>
      </c>
      <c r="E128" s="364" t="s">
        <v>616</v>
      </c>
      <c r="F128" s="367" t="s">
        <v>699</v>
      </c>
      <c r="G128" s="366"/>
      <c r="H128" s="366"/>
      <c r="I128" s="366"/>
      <c r="J128" s="343">
        <f>SUBTOTAL(9,G128:I128)</f>
        <v>0</v>
      </c>
      <c r="K128" s="345">
        <f t="shared" si="10"/>
        <v>0</v>
      </c>
    </row>
    <row r="129" spans="1:11" ht="12.75" x14ac:dyDescent="0.2">
      <c r="A129" s="363">
        <v>2</v>
      </c>
      <c r="B129" s="364">
        <v>2</v>
      </c>
      <c r="C129" s="364">
        <v>7</v>
      </c>
      <c r="D129" s="364">
        <v>1</v>
      </c>
      <c r="E129" s="364" t="s">
        <v>643</v>
      </c>
      <c r="F129" s="367" t="s">
        <v>700</v>
      </c>
      <c r="G129" s="366"/>
      <c r="H129" s="366"/>
      <c r="I129" s="366"/>
      <c r="J129" s="343">
        <f>SUBTOTAL(9,G129:I129)</f>
        <v>0</v>
      </c>
      <c r="K129" s="345">
        <f t="shared" ref="K129:K192" si="12">IFERROR(J129/$J$18*100,"0.00")</f>
        <v>0</v>
      </c>
    </row>
    <row r="130" spans="1:11" ht="22.5" x14ac:dyDescent="0.2">
      <c r="A130" s="363">
        <v>2</v>
      </c>
      <c r="B130" s="364">
        <v>2</v>
      </c>
      <c r="C130" s="364">
        <v>7</v>
      </c>
      <c r="D130" s="364">
        <v>1</v>
      </c>
      <c r="E130" s="364" t="s">
        <v>701</v>
      </c>
      <c r="F130" s="367" t="s">
        <v>702</v>
      </c>
      <c r="G130" s="366"/>
      <c r="H130" s="366"/>
      <c r="I130" s="366"/>
      <c r="J130" s="343">
        <f>SUBTOTAL(9,G130:I130)</f>
        <v>0</v>
      </c>
      <c r="K130" s="345">
        <f t="shared" si="12"/>
        <v>0</v>
      </c>
    </row>
    <row r="131" spans="1:11" ht="12.75" x14ac:dyDescent="0.2">
      <c r="A131" s="359">
        <v>2</v>
      </c>
      <c r="B131" s="360">
        <v>2</v>
      </c>
      <c r="C131" s="360">
        <v>7</v>
      </c>
      <c r="D131" s="360">
        <v>2</v>
      </c>
      <c r="E131" s="360"/>
      <c r="F131" s="372" t="s">
        <v>703</v>
      </c>
      <c r="G131" s="362">
        <f>SUM(G132:G140)</f>
        <v>0</v>
      </c>
      <c r="H131" s="362">
        <f>SUM(H132:H140)</f>
        <v>2000000</v>
      </c>
      <c r="I131" s="362">
        <f>SUM(I132:I140)</f>
        <v>0</v>
      </c>
      <c r="J131" s="362">
        <f>SUM(J132:J140)</f>
        <v>2000000</v>
      </c>
      <c r="K131" s="53">
        <f>SUM(K132:K140)</f>
        <v>0.42607172040412544</v>
      </c>
    </row>
    <row r="132" spans="1:11" ht="12.75" x14ac:dyDescent="0.2">
      <c r="A132" s="363">
        <v>2</v>
      </c>
      <c r="B132" s="364">
        <v>2</v>
      </c>
      <c r="C132" s="364">
        <v>7</v>
      </c>
      <c r="D132" s="364">
        <v>2</v>
      </c>
      <c r="E132" s="364" t="s">
        <v>610</v>
      </c>
      <c r="F132" s="367" t="s">
        <v>704</v>
      </c>
      <c r="G132" s="366"/>
      <c r="H132" s="366"/>
      <c r="I132" s="366"/>
      <c r="J132" s="343">
        <f>SUBTOTAL(9,G132:I132)</f>
        <v>0</v>
      </c>
      <c r="K132" s="345">
        <f t="shared" si="12"/>
        <v>0</v>
      </c>
    </row>
    <row r="133" spans="1:11" ht="12.75" x14ac:dyDescent="0.2">
      <c r="A133" s="363">
        <v>2</v>
      </c>
      <c r="B133" s="364">
        <v>2</v>
      </c>
      <c r="C133" s="364">
        <v>7</v>
      </c>
      <c r="D133" s="364">
        <v>2</v>
      </c>
      <c r="E133" s="364" t="s">
        <v>612</v>
      </c>
      <c r="F133" s="367" t="s">
        <v>705</v>
      </c>
      <c r="G133" s="366"/>
      <c r="H133" s="366"/>
      <c r="I133" s="366"/>
      <c r="J133" s="343">
        <f t="shared" ref="J133:J142" si="13">SUBTOTAL(9,G133:I133)</f>
        <v>0</v>
      </c>
      <c r="K133" s="345">
        <f t="shared" si="12"/>
        <v>0</v>
      </c>
    </row>
    <row r="134" spans="1:11" ht="22.5" x14ac:dyDescent="0.2">
      <c r="A134" s="363">
        <v>2</v>
      </c>
      <c r="B134" s="364">
        <v>2</v>
      </c>
      <c r="C134" s="364">
        <v>7</v>
      </c>
      <c r="D134" s="364">
        <v>2</v>
      </c>
      <c r="E134" s="364" t="s">
        <v>619</v>
      </c>
      <c r="F134" s="367" t="s">
        <v>706</v>
      </c>
      <c r="G134" s="366"/>
      <c r="H134" s="366"/>
      <c r="I134" s="366"/>
      <c r="J134" s="343">
        <f t="shared" si="13"/>
        <v>0</v>
      </c>
      <c r="K134" s="345">
        <f t="shared" si="12"/>
        <v>0</v>
      </c>
    </row>
    <row r="135" spans="1:11" ht="12.75" x14ac:dyDescent="0.2">
      <c r="A135" s="363">
        <v>2</v>
      </c>
      <c r="B135" s="364">
        <v>2</v>
      </c>
      <c r="C135" s="364">
        <v>7</v>
      </c>
      <c r="D135" s="364">
        <v>2</v>
      </c>
      <c r="E135" s="364" t="s">
        <v>634</v>
      </c>
      <c r="F135" s="367" t="s">
        <v>707</v>
      </c>
      <c r="G135" s="366"/>
      <c r="H135" s="366"/>
      <c r="I135" s="366"/>
      <c r="J135" s="343">
        <f t="shared" si="13"/>
        <v>0</v>
      </c>
      <c r="K135" s="345">
        <f t="shared" si="12"/>
        <v>0</v>
      </c>
    </row>
    <row r="136" spans="1:11" ht="12.75" x14ac:dyDescent="0.2">
      <c r="A136" s="363">
        <v>2</v>
      </c>
      <c r="B136" s="364">
        <v>2</v>
      </c>
      <c r="C136" s="364">
        <v>7</v>
      </c>
      <c r="D136" s="364">
        <v>2</v>
      </c>
      <c r="E136" s="364" t="s">
        <v>614</v>
      </c>
      <c r="F136" s="367" t="s">
        <v>708</v>
      </c>
      <c r="G136" s="366"/>
      <c r="H136" s="366"/>
      <c r="I136" s="366"/>
      <c r="J136" s="343">
        <f t="shared" si="13"/>
        <v>0</v>
      </c>
      <c r="K136" s="345">
        <f t="shared" si="12"/>
        <v>0</v>
      </c>
    </row>
    <row r="137" spans="1:11" ht="12.75" x14ac:dyDescent="0.2">
      <c r="A137" s="363">
        <v>2</v>
      </c>
      <c r="B137" s="364">
        <v>2</v>
      </c>
      <c r="C137" s="364">
        <v>7</v>
      </c>
      <c r="D137" s="364">
        <v>2</v>
      </c>
      <c r="E137" s="364" t="s">
        <v>616</v>
      </c>
      <c r="F137" s="365" t="s">
        <v>709</v>
      </c>
      <c r="G137" s="366"/>
      <c r="H137" s="366"/>
      <c r="I137" s="366"/>
      <c r="J137" s="343">
        <f t="shared" si="13"/>
        <v>0</v>
      </c>
      <c r="K137" s="345">
        <f t="shared" si="12"/>
        <v>0</v>
      </c>
    </row>
    <row r="138" spans="1:11" ht="12.75" x14ac:dyDescent="0.2">
      <c r="A138" s="363">
        <v>2</v>
      </c>
      <c r="B138" s="364">
        <v>2</v>
      </c>
      <c r="C138" s="364">
        <v>7</v>
      </c>
      <c r="D138" s="364">
        <v>2</v>
      </c>
      <c r="E138" s="364" t="s">
        <v>643</v>
      </c>
      <c r="F138" s="365" t="s">
        <v>710</v>
      </c>
      <c r="G138" s="366"/>
      <c r="H138" s="366"/>
      <c r="I138" s="366"/>
      <c r="J138" s="343">
        <f t="shared" si="13"/>
        <v>0</v>
      </c>
      <c r="K138" s="345">
        <f t="shared" si="12"/>
        <v>0</v>
      </c>
    </row>
    <row r="139" spans="1:11" ht="12.75" x14ac:dyDescent="0.2">
      <c r="A139" s="363">
        <v>2</v>
      </c>
      <c r="B139" s="364">
        <v>2</v>
      </c>
      <c r="C139" s="364">
        <v>7</v>
      </c>
      <c r="D139" s="364">
        <v>2</v>
      </c>
      <c r="E139" s="364" t="s">
        <v>623</v>
      </c>
      <c r="F139" s="365" t="s">
        <v>855</v>
      </c>
      <c r="G139" s="366"/>
      <c r="H139" s="366"/>
      <c r="I139" s="366"/>
      <c r="J139" s="343">
        <f t="shared" si="13"/>
        <v>0</v>
      </c>
      <c r="K139" s="345">
        <f t="shared" si="12"/>
        <v>0</v>
      </c>
    </row>
    <row r="140" spans="1:11" ht="22.5" x14ac:dyDescent="0.2">
      <c r="A140" s="363">
        <v>2</v>
      </c>
      <c r="B140" s="364">
        <v>2</v>
      </c>
      <c r="C140" s="364">
        <v>7</v>
      </c>
      <c r="D140" s="364">
        <v>2</v>
      </c>
      <c r="E140" s="364" t="s">
        <v>701</v>
      </c>
      <c r="F140" s="365" t="s">
        <v>856</v>
      </c>
      <c r="G140" s="366"/>
      <c r="H140" s="366">
        <v>2000000</v>
      </c>
      <c r="I140" s="366"/>
      <c r="J140" s="343">
        <f>SUBTOTAL(9,G140:I140)</f>
        <v>2000000</v>
      </c>
      <c r="K140" s="345">
        <f t="shared" si="12"/>
        <v>0.42607172040412544</v>
      </c>
    </row>
    <row r="141" spans="1:11" ht="12.75" x14ac:dyDescent="0.2">
      <c r="A141" s="359">
        <v>2</v>
      </c>
      <c r="B141" s="360">
        <v>2</v>
      </c>
      <c r="C141" s="360">
        <v>7</v>
      </c>
      <c r="D141" s="360">
        <v>3</v>
      </c>
      <c r="E141" s="360"/>
      <c r="F141" s="372" t="s">
        <v>713</v>
      </c>
      <c r="G141" s="362">
        <f>G142</f>
        <v>0</v>
      </c>
      <c r="H141" s="362">
        <f>H142</f>
        <v>0</v>
      </c>
      <c r="I141" s="362">
        <f>I142</f>
        <v>0</v>
      </c>
      <c r="J141" s="362">
        <f>J142</f>
        <v>0</v>
      </c>
      <c r="K141" s="53">
        <f>K142</f>
        <v>0</v>
      </c>
    </row>
    <row r="142" spans="1:11" ht="12.75" x14ac:dyDescent="0.2">
      <c r="A142" s="363">
        <v>2</v>
      </c>
      <c r="B142" s="364">
        <v>2</v>
      </c>
      <c r="C142" s="364">
        <v>7</v>
      </c>
      <c r="D142" s="364">
        <v>3</v>
      </c>
      <c r="E142" s="364" t="s">
        <v>610</v>
      </c>
      <c r="F142" s="365" t="s">
        <v>713</v>
      </c>
      <c r="G142" s="366"/>
      <c r="H142" s="366"/>
      <c r="I142" s="366"/>
      <c r="J142" s="343">
        <f t="shared" si="13"/>
        <v>0</v>
      </c>
      <c r="K142" s="345">
        <f t="shared" si="12"/>
        <v>0</v>
      </c>
    </row>
    <row r="143" spans="1:11" ht="12.75" x14ac:dyDescent="0.2">
      <c r="A143" s="355">
        <v>2</v>
      </c>
      <c r="B143" s="356">
        <v>2</v>
      </c>
      <c r="C143" s="356">
        <v>8</v>
      </c>
      <c r="D143" s="356"/>
      <c r="E143" s="356"/>
      <c r="F143" s="357" t="s">
        <v>714</v>
      </c>
      <c r="G143" s="358">
        <f>+G144+G146+G148+G150+G154+G157+G164</f>
        <v>0</v>
      </c>
      <c r="H143" s="358">
        <f>+H144+H146+H148+H150+H154+H157+H164</f>
        <v>480399</v>
      </c>
      <c r="I143" s="358">
        <f>+I144+I146+I148+I150+I154+I157+I164</f>
        <v>0</v>
      </c>
      <c r="J143" s="358">
        <f>+J144+J146+J148+J150+J154+J157+J164</f>
        <v>480399</v>
      </c>
      <c r="K143" s="358">
        <f>+K144+K146+K148+K150+K154+K157+K164</f>
        <v>0.10234221420521071</v>
      </c>
    </row>
    <row r="144" spans="1:11" ht="12.75" x14ac:dyDescent="0.2">
      <c r="A144" s="359">
        <v>2</v>
      </c>
      <c r="B144" s="360">
        <v>2</v>
      </c>
      <c r="C144" s="360">
        <v>8</v>
      </c>
      <c r="D144" s="360">
        <v>1</v>
      </c>
      <c r="E144" s="360"/>
      <c r="F144" s="372" t="s">
        <v>715</v>
      </c>
      <c r="G144" s="362">
        <f>G145</f>
        <v>0</v>
      </c>
      <c r="H144" s="362">
        <f>H145</f>
        <v>0</v>
      </c>
      <c r="I144" s="362">
        <f>I145</f>
        <v>0</v>
      </c>
      <c r="J144" s="362">
        <f>J145</f>
        <v>0</v>
      </c>
      <c r="K144" s="53">
        <f>K145</f>
        <v>0</v>
      </c>
    </row>
    <row r="145" spans="1:11" ht="12.75" x14ac:dyDescent="0.2">
      <c r="A145" s="363">
        <v>2</v>
      </c>
      <c r="B145" s="364">
        <v>2</v>
      </c>
      <c r="C145" s="364">
        <v>8</v>
      </c>
      <c r="D145" s="364">
        <v>1</v>
      </c>
      <c r="E145" s="364" t="s">
        <v>610</v>
      </c>
      <c r="F145" s="365" t="s">
        <v>715</v>
      </c>
      <c r="G145" s="366"/>
      <c r="H145" s="27"/>
      <c r="I145" s="27"/>
      <c r="J145" s="343">
        <f>SUBTOTAL(9,G145:I145)</f>
        <v>0</v>
      </c>
      <c r="K145" s="345">
        <f t="shared" si="12"/>
        <v>0</v>
      </c>
    </row>
    <row r="146" spans="1:11" ht="12.75" x14ac:dyDescent="0.2">
      <c r="A146" s="359">
        <v>2</v>
      </c>
      <c r="B146" s="360">
        <v>2</v>
      </c>
      <c r="C146" s="360">
        <v>8</v>
      </c>
      <c r="D146" s="360">
        <v>2</v>
      </c>
      <c r="E146" s="360"/>
      <c r="F146" s="372" t="s">
        <v>716</v>
      </c>
      <c r="G146" s="362">
        <f>G147</f>
        <v>0</v>
      </c>
      <c r="H146" s="362">
        <f>H147</f>
        <v>0</v>
      </c>
      <c r="I146" s="362">
        <f>I147</f>
        <v>0</v>
      </c>
      <c r="J146" s="362">
        <f>J147</f>
        <v>0</v>
      </c>
      <c r="K146" s="53">
        <f>K147</f>
        <v>0</v>
      </c>
    </row>
    <row r="147" spans="1:11" ht="12.75" x14ac:dyDescent="0.2">
      <c r="A147" s="363">
        <v>2</v>
      </c>
      <c r="B147" s="364">
        <v>2</v>
      </c>
      <c r="C147" s="364">
        <v>8</v>
      </c>
      <c r="D147" s="364">
        <v>2</v>
      </c>
      <c r="E147" s="364" t="s">
        <v>610</v>
      </c>
      <c r="F147" s="365" t="s">
        <v>717</v>
      </c>
      <c r="G147" s="366"/>
      <c r="H147" s="366"/>
      <c r="I147" s="366"/>
      <c r="J147" s="380">
        <f>SUBTOTAL(9,G147:I147)</f>
        <v>0</v>
      </c>
      <c r="K147" s="345">
        <f t="shared" si="12"/>
        <v>0</v>
      </c>
    </row>
    <row r="148" spans="1:11" ht="12.75" x14ac:dyDescent="0.2">
      <c r="A148" s="359">
        <v>2</v>
      </c>
      <c r="B148" s="360">
        <v>2</v>
      </c>
      <c r="C148" s="360">
        <v>8</v>
      </c>
      <c r="D148" s="360">
        <v>4</v>
      </c>
      <c r="E148" s="360"/>
      <c r="F148" s="372" t="s">
        <v>718</v>
      </c>
      <c r="G148" s="362">
        <f>G149</f>
        <v>0</v>
      </c>
      <c r="H148" s="362">
        <f>H149</f>
        <v>0</v>
      </c>
      <c r="I148" s="362">
        <f>I149</f>
        <v>0</v>
      </c>
      <c r="J148" s="362">
        <f>J149</f>
        <v>0</v>
      </c>
      <c r="K148" s="53">
        <f>K149</f>
        <v>0</v>
      </c>
    </row>
    <row r="149" spans="1:11" ht="12.75" x14ac:dyDescent="0.2">
      <c r="A149" s="363">
        <v>2</v>
      </c>
      <c r="B149" s="364">
        <v>2</v>
      </c>
      <c r="C149" s="364">
        <v>8</v>
      </c>
      <c r="D149" s="364">
        <v>4</v>
      </c>
      <c r="E149" s="364" t="s">
        <v>610</v>
      </c>
      <c r="F149" s="365" t="s">
        <v>718</v>
      </c>
      <c r="G149" s="366"/>
      <c r="H149" s="366"/>
      <c r="I149" s="366"/>
      <c r="J149" s="380">
        <f>SUBTOTAL(9,G149:I149)</f>
        <v>0</v>
      </c>
      <c r="K149" s="345">
        <f t="shared" si="12"/>
        <v>0</v>
      </c>
    </row>
    <row r="150" spans="1:11" ht="12.75" x14ac:dyDescent="0.2">
      <c r="A150" s="359">
        <v>2</v>
      </c>
      <c r="B150" s="360">
        <v>2</v>
      </c>
      <c r="C150" s="360">
        <v>8</v>
      </c>
      <c r="D150" s="360">
        <v>5</v>
      </c>
      <c r="E150" s="360"/>
      <c r="F150" s="372" t="s">
        <v>719</v>
      </c>
      <c r="G150" s="362">
        <f>SUM(G151:G153)</f>
        <v>0</v>
      </c>
      <c r="H150" s="362">
        <f>SUM(H151:H153)</f>
        <v>480399</v>
      </c>
      <c r="I150" s="362">
        <f>SUM(I151:I153)</f>
        <v>0</v>
      </c>
      <c r="J150" s="362">
        <f>SUM(J151:J153)</f>
        <v>480399</v>
      </c>
      <c r="K150" s="53">
        <f>SUM(K151:K153)</f>
        <v>0.10234221420521071</v>
      </c>
    </row>
    <row r="151" spans="1:11" ht="12.75" x14ac:dyDescent="0.2">
      <c r="A151" s="363">
        <v>2</v>
      </c>
      <c r="B151" s="364">
        <v>2</v>
      </c>
      <c r="C151" s="364">
        <v>8</v>
      </c>
      <c r="D151" s="364">
        <v>5</v>
      </c>
      <c r="E151" s="364" t="s">
        <v>610</v>
      </c>
      <c r="F151" s="365" t="s">
        <v>720</v>
      </c>
      <c r="G151" s="366"/>
      <c r="H151" s="366">
        <v>448399</v>
      </c>
      <c r="I151" s="366"/>
      <c r="J151" s="380">
        <f>SUBTOTAL(9,G151:I151)</f>
        <v>448399</v>
      </c>
      <c r="K151" s="345">
        <f t="shared" si="12"/>
        <v>9.5525066678744705E-2</v>
      </c>
    </row>
    <row r="152" spans="1:11" ht="12.75" x14ac:dyDescent="0.2">
      <c r="A152" s="363">
        <v>2</v>
      </c>
      <c r="B152" s="364">
        <v>2</v>
      </c>
      <c r="C152" s="364">
        <v>8</v>
      </c>
      <c r="D152" s="364">
        <v>5</v>
      </c>
      <c r="E152" s="364" t="s">
        <v>612</v>
      </c>
      <c r="F152" s="365" t="s">
        <v>721</v>
      </c>
      <c r="G152" s="366"/>
      <c r="H152" s="27"/>
      <c r="I152" s="27"/>
      <c r="J152" s="380">
        <f t="shared" ref="J152:J166" si="14">SUBTOTAL(9,G152:I152)</f>
        <v>0</v>
      </c>
      <c r="K152" s="345">
        <f t="shared" si="12"/>
        <v>0</v>
      </c>
    </row>
    <row r="153" spans="1:11" ht="12.75" x14ac:dyDescent="0.2">
      <c r="A153" s="363">
        <v>2</v>
      </c>
      <c r="B153" s="364">
        <v>2</v>
      </c>
      <c r="C153" s="364">
        <v>8</v>
      </c>
      <c r="D153" s="364">
        <v>5</v>
      </c>
      <c r="E153" s="364" t="s">
        <v>619</v>
      </c>
      <c r="F153" s="365" t="s">
        <v>722</v>
      </c>
      <c r="G153" s="366"/>
      <c r="H153" s="366">
        <v>32000</v>
      </c>
      <c r="I153" s="366"/>
      <c r="J153" s="380">
        <f>SUBTOTAL(9,G153:I153)</f>
        <v>32000</v>
      </c>
      <c r="K153" s="345">
        <f>IFERROR(J153/$J$18*100,"0.00")</f>
        <v>6.8171475264660062E-3</v>
      </c>
    </row>
    <row r="154" spans="1:11" ht="12.75" x14ac:dyDescent="0.2">
      <c r="A154" s="359">
        <v>2</v>
      </c>
      <c r="B154" s="360">
        <v>2</v>
      </c>
      <c r="C154" s="360">
        <v>8</v>
      </c>
      <c r="D154" s="360">
        <v>6</v>
      </c>
      <c r="E154" s="360"/>
      <c r="F154" s="372" t="s">
        <v>723</v>
      </c>
      <c r="G154" s="362">
        <f>SUM(G155:G156)</f>
        <v>0</v>
      </c>
      <c r="H154" s="362">
        <f>SUM(H155:H156)</f>
        <v>0</v>
      </c>
      <c r="I154" s="362">
        <f>SUM(I155:I156)</f>
        <v>0</v>
      </c>
      <c r="J154" s="374">
        <f t="shared" si="14"/>
        <v>0</v>
      </c>
      <c r="K154" s="53">
        <f t="shared" si="12"/>
        <v>0</v>
      </c>
    </row>
    <row r="155" spans="1:11" ht="12.75" x14ac:dyDescent="0.2">
      <c r="A155" s="363">
        <v>2</v>
      </c>
      <c r="B155" s="364">
        <v>2</v>
      </c>
      <c r="C155" s="364">
        <v>8</v>
      </c>
      <c r="D155" s="364">
        <v>6</v>
      </c>
      <c r="E155" s="364" t="s">
        <v>610</v>
      </c>
      <c r="F155" s="365" t="s">
        <v>857</v>
      </c>
      <c r="G155" s="366"/>
      <c r="H155" s="366"/>
      <c r="I155" s="366"/>
      <c r="J155" s="380">
        <f t="shared" si="14"/>
        <v>0</v>
      </c>
      <c r="K155" s="345">
        <f t="shared" si="12"/>
        <v>0</v>
      </c>
    </row>
    <row r="156" spans="1:11" ht="12.75" x14ac:dyDescent="0.2">
      <c r="A156" s="363">
        <v>2</v>
      </c>
      <c r="B156" s="364">
        <v>2</v>
      </c>
      <c r="C156" s="364">
        <v>8</v>
      </c>
      <c r="D156" s="364">
        <v>6</v>
      </c>
      <c r="E156" s="364" t="s">
        <v>612</v>
      </c>
      <c r="F156" s="365" t="s">
        <v>725</v>
      </c>
      <c r="G156" s="366"/>
      <c r="H156" s="27"/>
      <c r="I156" s="27"/>
      <c r="J156" s="380">
        <f t="shared" si="14"/>
        <v>0</v>
      </c>
      <c r="K156" s="345">
        <f t="shared" si="12"/>
        <v>0</v>
      </c>
    </row>
    <row r="157" spans="1:11" ht="12.75" x14ac:dyDescent="0.2">
      <c r="A157" s="359">
        <v>2</v>
      </c>
      <c r="B157" s="360">
        <v>2</v>
      </c>
      <c r="C157" s="360">
        <v>8</v>
      </c>
      <c r="D157" s="360">
        <v>7</v>
      </c>
      <c r="E157" s="360"/>
      <c r="F157" s="372" t="s">
        <v>726</v>
      </c>
      <c r="G157" s="362">
        <f>SUM(G158:G163)</f>
        <v>0</v>
      </c>
      <c r="H157" s="29">
        <f>+H158</f>
        <v>0</v>
      </c>
      <c r="I157" s="29">
        <f>+I158</f>
        <v>0</v>
      </c>
      <c r="J157" s="374">
        <f t="shared" si="14"/>
        <v>0</v>
      </c>
      <c r="K157" s="53">
        <f t="shared" si="12"/>
        <v>0</v>
      </c>
    </row>
    <row r="158" spans="1:11" ht="12.75" x14ac:dyDescent="0.2">
      <c r="A158" s="363">
        <v>2</v>
      </c>
      <c r="B158" s="364">
        <v>2</v>
      </c>
      <c r="C158" s="364">
        <v>8</v>
      </c>
      <c r="D158" s="364">
        <v>7</v>
      </c>
      <c r="E158" s="364" t="s">
        <v>610</v>
      </c>
      <c r="F158" s="365" t="s">
        <v>726</v>
      </c>
      <c r="G158" s="366"/>
      <c r="H158" s="366"/>
      <c r="I158" s="366"/>
      <c r="J158" s="380">
        <f>SUBTOTAL(9,G158:I158)</f>
        <v>0</v>
      </c>
      <c r="K158" s="345">
        <f t="shared" si="12"/>
        <v>0</v>
      </c>
    </row>
    <row r="159" spans="1:11" ht="12.75" x14ac:dyDescent="0.2">
      <c r="A159" s="363">
        <v>2</v>
      </c>
      <c r="B159" s="364">
        <v>2</v>
      </c>
      <c r="C159" s="364">
        <v>8</v>
      </c>
      <c r="D159" s="364">
        <v>7</v>
      </c>
      <c r="E159" s="364" t="s">
        <v>612</v>
      </c>
      <c r="F159" s="365" t="s">
        <v>728</v>
      </c>
      <c r="G159" s="366"/>
      <c r="H159" s="366"/>
      <c r="I159" s="366"/>
      <c r="J159" s="380">
        <f t="shared" si="14"/>
        <v>0</v>
      </c>
      <c r="K159" s="345">
        <f t="shared" si="12"/>
        <v>0</v>
      </c>
    </row>
    <row r="160" spans="1:11" ht="12.75" x14ac:dyDescent="0.2">
      <c r="A160" s="363">
        <v>2</v>
      </c>
      <c r="B160" s="364">
        <v>2</v>
      </c>
      <c r="C160" s="364">
        <v>8</v>
      </c>
      <c r="D160" s="364">
        <v>7</v>
      </c>
      <c r="E160" s="364" t="s">
        <v>619</v>
      </c>
      <c r="F160" s="365" t="s">
        <v>729</v>
      </c>
      <c r="G160" s="366"/>
      <c r="H160" s="366"/>
      <c r="I160" s="366"/>
      <c r="J160" s="380">
        <f t="shared" si="14"/>
        <v>0</v>
      </c>
      <c r="K160" s="345">
        <f t="shared" si="12"/>
        <v>0</v>
      </c>
    </row>
    <row r="161" spans="1:11" ht="12.75" x14ac:dyDescent="0.2">
      <c r="A161" s="363">
        <v>2</v>
      </c>
      <c r="B161" s="364">
        <v>2</v>
      </c>
      <c r="C161" s="364">
        <v>8</v>
      </c>
      <c r="D161" s="364">
        <v>7</v>
      </c>
      <c r="E161" s="364" t="s">
        <v>634</v>
      </c>
      <c r="F161" s="365" t="s">
        <v>730</v>
      </c>
      <c r="G161" s="366"/>
      <c r="H161" s="366"/>
      <c r="I161" s="366"/>
      <c r="J161" s="380">
        <f t="shared" si="14"/>
        <v>0</v>
      </c>
      <c r="K161" s="345">
        <f t="shared" si="12"/>
        <v>0</v>
      </c>
    </row>
    <row r="162" spans="1:11" ht="12.75" x14ac:dyDescent="0.2">
      <c r="A162" s="363">
        <v>2</v>
      </c>
      <c r="B162" s="364">
        <v>2</v>
      </c>
      <c r="C162" s="364">
        <v>8</v>
      </c>
      <c r="D162" s="364">
        <v>7</v>
      </c>
      <c r="E162" s="364" t="s">
        <v>614</v>
      </c>
      <c r="F162" s="365" t="s">
        <v>731</v>
      </c>
      <c r="G162" s="366"/>
      <c r="H162" s="366"/>
      <c r="I162" s="366"/>
      <c r="J162" s="380">
        <f t="shared" si="14"/>
        <v>0</v>
      </c>
      <c r="K162" s="345">
        <f t="shared" si="12"/>
        <v>0</v>
      </c>
    </row>
    <row r="163" spans="1:11" ht="12.75" x14ac:dyDescent="0.2">
      <c r="A163" s="363">
        <v>2</v>
      </c>
      <c r="B163" s="364">
        <v>2</v>
      </c>
      <c r="C163" s="364">
        <v>8</v>
      </c>
      <c r="D163" s="364">
        <v>7</v>
      </c>
      <c r="E163" s="364" t="s">
        <v>616</v>
      </c>
      <c r="F163" s="365" t="s">
        <v>732</v>
      </c>
      <c r="G163" s="366"/>
      <c r="H163" s="366"/>
      <c r="I163" s="366"/>
      <c r="J163" s="380">
        <f t="shared" si="14"/>
        <v>0</v>
      </c>
      <c r="K163" s="345">
        <f t="shared" si="12"/>
        <v>0</v>
      </c>
    </row>
    <row r="164" spans="1:11" ht="12.75" x14ac:dyDescent="0.2">
      <c r="A164" s="359">
        <v>2</v>
      </c>
      <c r="B164" s="360">
        <v>2</v>
      </c>
      <c r="C164" s="360">
        <v>8</v>
      </c>
      <c r="D164" s="360">
        <v>8</v>
      </c>
      <c r="E164" s="360"/>
      <c r="F164" s="372" t="s">
        <v>733</v>
      </c>
      <c r="G164" s="362">
        <f>SUM(G165:G166)</f>
        <v>0</v>
      </c>
      <c r="H164" s="362">
        <f>SUM(H165:H166)</f>
        <v>0</v>
      </c>
      <c r="I164" s="362">
        <f>SUM(I165:I166)</f>
        <v>0</v>
      </c>
      <c r="J164" s="362">
        <f>SUM(J165:J166)</f>
        <v>0</v>
      </c>
      <c r="K164" s="53">
        <f>SUM(K165:K166)</f>
        <v>0</v>
      </c>
    </row>
    <row r="165" spans="1:11" ht="12.75" x14ac:dyDescent="0.2">
      <c r="A165" s="363">
        <v>2</v>
      </c>
      <c r="B165" s="364">
        <v>2</v>
      </c>
      <c r="C165" s="364">
        <v>8</v>
      </c>
      <c r="D165" s="364">
        <v>8</v>
      </c>
      <c r="E165" s="364" t="s">
        <v>610</v>
      </c>
      <c r="F165" s="365" t="s">
        <v>734</v>
      </c>
      <c r="G165" s="366"/>
      <c r="H165" s="366"/>
      <c r="I165" s="366"/>
      <c r="J165" s="380">
        <f t="shared" si="14"/>
        <v>0</v>
      </c>
      <c r="K165" s="345">
        <f t="shared" si="12"/>
        <v>0</v>
      </c>
    </row>
    <row r="166" spans="1:11" ht="12.75" x14ac:dyDescent="0.2">
      <c r="A166" s="363">
        <v>2</v>
      </c>
      <c r="B166" s="364">
        <v>2</v>
      </c>
      <c r="C166" s="364">
        <v>8</v>
      </c>
      <c r="D166" s="364">
        <v>8</v>
      </c>
      <c r="E166" s="364" t="s">
        <v>612</v>
      </c>
      <c r="F166" s="365" t="s">
        <v>735</v>
      </c>
      <c r="G166" s="366"/>
      <c r="H166" s="366"/>
      <c r="I166" s="366"/>
      <c r="J166" s="344">
        <f t="shared" si="14"/>
        <v>0</v>
      </c>
      <c r="K166" s="345">
        <f t="shared" si="12"/>
        <v>0</v>
      </c>
    </row>
    <row r="167" spans="1:11" ht="12.75" x14ac:dyDescent="0.2">
      <c r="A167" s="359">
        <v>2</v>
      </c>
      <c r="B167" s="360">
        <v>2</v>
      </c>
      <c r="C167" s="360">
        <v>9</v>
      </c>
      <c r="D167" s="360">
        <v>2</v>
      </c>
      <c r="E167" s="364"/>
      <c r="F167" s="372" t="s">
        <v>737</v>
      </c>
      <c r="G167" s="362">
        <f>+G168+G169</f>
        <v>0</v>
      </c>
      <c r="H167" s="362">
        <f>+H168+H169</f>
        <v>369000</v>
      </c>
      <c r="I167" s="362">
        <f>+I168+I169</f>
        <v>0</v>
      </c>
      <c r="J167" s="29">
        <f>SUBTOTAL(9,G167:I167)</f>
        <v>369000</v>
      </c>
      <c r="K167" s="53">
        <f>SUBTOTAL(9,H167:J167)</f>
        <v>369000</v>
      </c>
    </row>
    <row r="168" spans="1:11" ht="12.75" x14ac:dyDescent="0.2">
      <c r="A168" s="363">
        <v>2</v>
      </c>
      <c r="B168" s="364">
        <v>2</v>
      </c>
      <c r="C168" s="364">
        <v>9</v>
      </c>
      <c r="D168" s="364">
        <v>2</v>
      </c>
      <c r="E168" s="364" t="s">
        <v>564</v>
      </c>
      <c r="F168" s="365" t="s">
        <v>737</v>
      </c>
      <c r="G168" s="375"/>
      <c r="H168" s="27"/>
      <c r="I168" s="27"/>
      <c r="J168" s="343">
        <f>SUBTOTAL(9,G168:I168)</f>
        <v>0</v>
      </c>
      <c r="K168" s="345">
        <f t="shared" si="12"/>
        <v>0</v>
      </c>
    </row>
    <row r="169" spans="1:11" ht="12.75" x14ac:dyDescent="0.2">
      <c r="A169" s="363">
        <v>2</v>
      </c>
      <c r="B169" s="364">
        <v>2</v>
      </c>
      <c r="C169" s="364">
        <v>9</v>
      </c>
      <c r="D169" s="364">
        <v>2</v>
      </c>
      <c r="E169" s="364" t="s">
        <v>619</v>
      </c>
      <c r="F169" s="365" t="s">
        <v>739</v>
      </c>
      <c r="G169" s="366"/>
      <c r="H169" s="27">
        <v>369000</v>
      </c>
      <c r="I169" s="27"/>
      <c r="J169" s="343">
        <f>SUBTOTAL(9,G169:I169)</f>
        <v>369000</v>
      </c>
      <c r="K169" s="345">
        <f t="shared" si="12"/>
        <v>7.8610232414561124E-2</v>
      </c>
    </row>
    <row r="170" spans="1:11" ht="12.75" x14ac:dyDescent="0.2">
      <c r="A170" s="351">
        <v>2</v>
      </c>
      <c r="B170" s="352">
        <v>3</v>
      </c>
      <c r="C170" s="352"/>
      <c r="D170" s="352"/>
      <c r="E170" s="352"/>
      <c r="F170" s="353" t="s">
        <v>740</v>
      </c>
      <c r="G170" s="354">
        <f>+G171+G179+G188+G197+G200+G209+G224+G237</f>
        <v>16548225.600000001</v>
      </c>
      <c r="H170" s="354">
        <f>+H171+H179+H188+H197+H200+H209+H224+H237</f>
        <v>18539981.150000002</v>
      </c>
      <c r="I170" s="354">
        <f>+I171+I179+I188+I197+I200+I209+I224+I237</f>
        <v>0</v>
      </c>
      <c r="J170" s="354">
        <f>+J171+J179+J188+J197+J200+J209+J224+J237</f>
        <v>35088206.75</v>
      </c>
      <c r="K170" s="354">
        <f>+K171+K179+K188+K197+K200+K209+K224+K237</f>
        <v>7.4750463079340719</v>
      </c>
    </row>
    <row r="171" spans="1:11" ht="12.75" x14ac:dyDescent="0.2">
      <c r="A171" s="355">
        <v>2</v>
      </c>
      <c r="B171" s="356">
        <v>3</v>
      </c>
      <c r="C171" s="356">
        <v>1</v>
      </c>
      <c r="D171" s="356"/>
      <c r="E171" s="356"/>
      <c r="F171" s="357" t="s">
        <v>741</v>
      </c>
      <c r="G171" s="358">
        <f>+G172+G174+G177</f>
        <v>3684054.3</v>
      </c>
      <c r="H171" s="358">
        <f>+H172+H174+H177</f>
        <v>3573728.84</v>
      </c>
      <c r="I171" s="358">
        <f>+I172+I174+I177</f>
        <v>0</v>
      </c>
      <c r="J171" s="358">
        <f>+J172+J174+J177</f>
        <v>7257783.1399999997</v>
      </c>
      <c r="K171" s="358">
        <f>+K172+K174+K177</f>
        <v>1.5461680743899275</v>
      </c>
    </row>
    <row r="172" spans="1:11" ht="12.75" x14ac:dyDescent="0.2">
      <c r="A172" s="359">
        <v>2</v>
      </c>
      <c r="B172" s="360">
        <v>3</v>
      </c>
      <c r="C172" s="360">
        <v>1</v>
      </c>
      <c r="D172" s="360">
        <v>1</v>
      </c>
      <c r="E172" s="360"/>
      <c r="F172" s="372" t="s">
        <v>742</v>
      </c>
      <c r="G172" s="362">
        <f>+G173</f>
        <v>3684054.3</v>
      </c>
      <c r="H172" s="362">
        <f>+H173</f>
        <v>3573728.84</v>
      </c>
      <c r="I172" s="362">
        <f>+I173</f>
        <v>0</v>
      </c>
      <c r="J172" s="362">
        <f>+J173</f>
        <v>7257783.1399999997</v>
      </c>
      <c r="K172" s="53">
        <f>+K173</f>
        <v>1.5461680743899275</v>
      </c>
    </row>
    <row r="173" spans="1:11" ht="12.75" x14ac:dyDescent="0.2">
      <c r="A173" s="363">
        <v>2</v>
      </c>
      <c r="B173" s="364">
        <v>3</v>
      </c>
      <c r="C173" s="364">
        <v>1</v>
      </c>
      <c r="D173" s="364">
        <v>1</v>
      </c>
      <c r="E173" s="364" t="s">
        <v>610</v>
      </c>
      <c r="F173" s="365" t="s">
        <v>742</v>
      </c>
      <c r="G173" s="366">
        <v>3684054.3</v>
      </c>
      <c r="H173" s="27">
        <v>3573728.84</v>
      </c>
      <c r="I173" s="27"/>
      <c r="J173" s="343">
        <f>SUBTOTAL(9,G173:I173)</f>
        <v>7257783.1399999997</v>
      </c>
      <c r="K173" s="345">
        <f t="shared" si="12"/>
        <v>1.5461680743899275</v>
      </c>
    </row>
    <row r="174" spans="1:11" ht="12.75" x14ac:dyDescent="0.2">
      <c r="A174" s="359">
        <v>2</v>
      </c>
      <c r="B174" s="360">
        <v>3</v>
      </c>
      <c r="C174" s="360">
        <v>1</v>
      </c>
      <c r="D174" s="360">
        <v>3</v>
      </c>
      <c r="E174" s="360"/>
      <c r="F174" s="372" t="s">
        <v>743</v>
      </c>
      <c r="G174" s="362">
        <f>SUM(G175:G176)</f>
        <v>0</v>
      </c>
      <c r="H174" s="362">
        <f>SUM(H175:H176)</f>
        <v>0</v>
      </c>
      <c r="I174" s="362">
        <f>SUM(I175:I176)</f>
        <v>0</v>
      </c>
      <c r="J174" s="362">
        <f>SUM(J175:J176)</f>
        <v>0</v>
      </c>
      <c r="K174" s="53">
        <f>SUM(K175:K176)</f>
        <v>0</v>
      </c>
    </row>
    <row r="175" spans="1:11" ht="12.75" x14ac:dyDescent="0.2">
      <c r="A175" s="363">
        <v>2</v>
      </c>
      <c r="B175" s="364">
        <v>3</v>
      </c>
      <c r="C175" s="364">
        <v>1</v>
      </c>
      <c r="D175" s="364">
        <v>3</v>
      </c>
      <c r="E175" s="364" t="s">
        <v>612</v>
      </c>
      <c r="F175" s="365" t="s">
        <v>744</v>
      </c>
      <c r="G175" s="366"/>
      <c r="H175" s="27"/>
      <c r="I175" s="27"/>
      <c r="J175" s="343">
        <f t="shared" ref="J175:J181" si="15">SUBTOTAL(9,G175:I175)</f>
        <v>0</v>
      </c>
      <c r="K175" s="345">
        <f t="shared" si="12"/>
        <v>0</v>
      </c>
    </row>
    <row r="176" spans="1:11" ht="12.75" x14ac:dyDescent="0.2">
      <c r="A176" s="363">
        <v>2</v>
      </c>
      <c r="B176" s="364">
        <v>3</v>
      </c>
      <c r="C176" s="364">
        <v>1</v>
      </c>
      <c r="D176" s="364">
        <v>3</v>
      </c>
      <c r="E176" s="364" t="s">
        <v>619</v>
      </c>
      <c r="F176" s="365" t="s">
        <v>745</v>
      </c>
      <c r="G176" s="373"/>
      <c r="H176" s="27"/>
      <c r="I176" s="27"/>
      <c r="J176" s="343">
        <f t="shared" si="15"/>
        <v>0</v>
      </c>
      <c r="K176" s="345">
        <f t="shared" si="12"/>
        <v>0</v>
      </c>
    </row>
    <row r="177" spans="1:11" ht="12.75" x14ac:dyDescent="0.2">
      <c r="A177" s="359">
        <v>2</v>
      </c>
      <c r="B177" s="360">
        <v>3</v>
      </c>
      <c r="C177" s="360">
        <v>1</v>
      </c>
      <c r="D177" s="360">
        <v>4</v>
      </c>
      <c r="E177" s="360"/>
      <c r="F177" s="372" t="s">
        <v>746</v>
      </c>
      <c r="G177" s="374">
        <f>+G178</f>
        <v>0</v>
      </c>
      <c r="H177" s="374">
        <f>+H178</f>
        <v>0</v>
      </c>
      <c r="I177" s="374">
        <f>+I178</f>
        <v>0</v>
      </c>
      <c r="J177" s="374">
        <f>+J178</f>
        <v>0</v>
      </c>
      <c r="K177" s="53">
        <f>+K178</f>
        <v>0</v>
      </c>
    </row>
    <row r="178" spans="1:11" ht="12.75" x14ac:dyDescent="0.2">
      <c r="A178" s="363">
        <v>2</v>
      </c>
      <c r="B178" s="364">
        <v>3</v>
      </c>
      <c r="C178" s="364">
        <v>1</v>
      </c>
      <c r="D178" s="364">
        <v>4</v>
      </c>
      <c r="E178" s="364" t="s">
        <v>610</v>
      </c>
      <c r="F178" s="365" t="s">
        <v>746</v>
      </c>
      <c r="G178" s="373"/>
      <c r="H178" s="27"/>
      <c r="I178" s="27"/>
      <c r="J178" s="343">
        <f t="shared" si="15"/>
        <v>0</v>
      </c>
      <c r="K178" s="345">
        <f t="shared" si="12"/>
        <v>0</v>
      </c>
    </row>
    <row r="179" spans="1:11" ht="12.75" x14ac:dyDescent="0.2">
      <c r="A179" s="355">
        <v>2</v>
      </c>
      <c r="B179" s="356">
        <v>3</v>
      </c>
      <c r="C179" s="356">
        <v>2</v>
      </c>
      <c r="D179" s="356"/>
      <c r="E179" s="356"/>
      <c r="F179" s="357" t="s">
        <v>747</v>
      </c>
      <c r="G179" s="358">
        <f>+G180+G182+G184+G186</f>
        <v>0</v>
      </c>
      <c r="H179" s="358">
        <f>+H180+H182+H184+H186</f>
        <v>832743.8</v>
      </c>
      <c r="I179" s="358">
        <f>+I180+I182+I184+I186</f>
        <v>0</v>
      </c>
      <c r="J179" s="358">
        <f>+J180+J182+J184+J186</f>
        <v>832743.8</v>
      </c>
      <c r="K179" s="358">
        <f>+K180+K182+K184+K186</f>
        <v>0.17740429176093447</v>
      </c>
    </row>
    <row r="180" spans="1:11" ht="12.75" x14ac:dyDescent="0.2">
      <c r="A180" s="359">
        <v>2</v>
      </c>
      <c r="B180" s="360">
        <v>3</v>
      </c>
      <c r="C180" s="360">
        <v>2</v>
      </c>
      <c r="D180" s="360">
        <v>1</v>
      </c>
      <c r="E180" s="360"/>
      <c r="F180" s="372" t="s">
        <v>748</v>
      </c>
      <c r="G180" s="374">
        <f>+G181</f>
        <v>0</v>
      </c>
      <c r="H180" s="374">
        <f>+H181</f>
        <v>0</v>
      </c>
      <c r="I180" s="374">
        <f>+I181</f>
        <v>0</v>
      </c>
      <c r="J180" s="374">
        <f>+J181</f>
        <v>0</v>
      </c>
      <c r="K180" s="53">
        <f>+K181</f>
        <v>0</v>
      </c>
    </row>
    <row r="181" spans="1:11" ht="12.75" x14ac:dyDescent="0.2">
      <c r="A181" s="363">
        <v>2</v>
      </c>
      <c r="B181" s="364">
        <v>3</v>
      </c>
      <c r="C181" s="364">
        <v>2</v>
      </c>
      <c r="D181" s="364">
        <v>1</v>
      </c>
      <c r="E181" s="364" t="s">
        <v>610</v>
      </c>
      <c r="F181" s="365" t="s">
        <v>748</v>
      </c>
      <c r="G181" s="373"/>
      <c r="H181" s="373"/>
      <c r="I181" s="373"/>
      <c r="J181" s="344">
        <f t="shared" si="15"/>
        <v>0</v>
      </c>
      <c r="K181" s="345">
        <f t="shared" si="12"/>
        <v>0</v>
      </c>
    </row>
    <row r="182" spans="1:11" ht="12.75" x14ac:dyDescent="0.2">
      <c r="A182" s="359">
        <v>2</v>
      </c>
      <c r="B182" s="360">
        <v>3</v>
      </c>
      <c r="C182" s="360">
        <v>2</v>
      </c>
      <c r="D182" s="360">
        <v>2</v>
      </c>
      <c r="E182" s="360"/>
      <c r="F182" s="372" t="s">
        <v>749</v>
      </c>
      <c r="G182" s="374">
        <f>+G183</f>
        <v>0</v>
      </c>
      <c r="H182" s="374">
        <f>+H183</f>
        <v>832743.8</v>
      </c>
      <c r="I182" s="374">
        <f>+I183</f>
        <v>0</v>
      </c>
      <c r="J182" s="374">
        <f>+J183</f>
        <v>832743.8</v>
      </c>
      <c r="K182" s="53">
        <f>+K183</f>
        <v>0.17740429176093447</v>
      </c>
    </row>
    <row r="183" spans="1:11" ht="12.75" x14ac:dyDescent="0.2">
      <c r="A183" s="363">
        <v>2</v>
      </c>
      <c r="B183" s="364">
        <v>3</v>
      </c>
      <c r="C183" s="364">
        <v>2</v>
      </c>
      <c r="D183" s="364">
        <v>2</v>
      </c>
      <c r="E183" s="364" t="s">
        <v>610</v>
      </c>
      <c r="F183" s="365" t="s">
        <v>749</v>
      </c>
      <c r="G183" s="373"/>
      <c r="H183" s="373">
        <v>832743.8</v>
      </c>
      <c r="I183" s="373"/>
      <c r="J183" s="343">
        <f>SUBTOTAL(9,G183:I183)</f>
        <v>832743.8</v>
      </c>
      <c r="K183" s="345">
        <f t="shared" si="12"/>
        <v>0.17740429176093447</v>
      </c>
    </row>
    <row r="184" spans="1:11" ht="12.75" x14ac:dyDescent="0.2">
      <c r="A184" s="359">
        <v>2</v>
      </c>
      <c r="B184" s="360">
        <v>3</v>
      </c>
      <c r="C184" s="360">
        <v>2</v>
      </c>
      <c r="D184" s="360">
        <v>3</v>
      </c>
      <c r="E184" s="360"/>
      <c r="F184" s="372" t="s">
        <v>750</v>
      </c>
      <c r="G184" s="374">
        <f>+G185</f>
        <v>0</v>
      </c>
      <c r="H184" s="374">
        <f>+H185</f>
        <v>0</v>
      </c>
      <c r="I184" s="374">
        <f>+I185</f>
        <v>0</v>
      </c>
      <c r="J184" s="374">
        <f>+J185</f>
        <v>0</v>
      </c>
      <c r="K184" s="53">
        <f>+K185</f>
        <v>0</v>
      </c>
    </row>
    <row r="185" spans="1:11" ht="12.75" x14ac:dyDescent="0.2">
      <c r="A185" s="363">
        <v>2</v>
      </c>
      <c r="B185" s="364">
        <v>3</v>
      </c>
      <c r="C185" s="364">
        <v>2</v>
      </c>
      <c r="D185" s="364">
        <v>3</v>
      </c>
      <c r="E185" s="364" t="s">
        <v>610</v>
      </c>
      <c r="F185" s="365" t="s">
        <v>750</v>
      </c>
      <c r="G185" s="373"/>
      <c r="H185" s="27"/>
      <c r="I185" s="27"/>
      <c r="J185" s="343">
        <f>SUBTOTAL(9,G185:I185)</f>
        <v>0</v>
      </c>
      <c r="K185" s="345">
        <f t="shared" si="12"/>
        <v>0</v>
      </c>
    </row>
    <row r="186" spans="1:11" ht="12.75" x14ac:dyDescent="0.2">
      <c r="A186" s="359">
        <v>2</v>
      </c>
      <c r="B186" s="360">
        <v>3</v>
      </c>
      <c r="C186" s="360">
        <v>2</v>
      </c>
      <c r="D186" s="360">
        <v>4</v>
      </c>
      <c r="E186" s="360"/>
      <c r="F186" s="372" t="s">
        <v>751</v>
      </c>
      <c r="G186" s="374">
        <f>+G187</f>
        <v>0</v>
      </c>
      <c r="H186" s="374">
        <f>+H187</f>
        <v>0</v>
      </c>
      <c r="I186" s="374">
        <f>+I187</f>
        <v>0</v>
      </c>
      <c r="J186" s="374">
        <f>+J187</f>
        <v>0</v>
      </c>
      <c r="K186" s="53">
        <f>+K187</f>
        <v>0</v>
      </c>
    </row>
    <row r="187" spans="1:11" ht="12.75" x14ac:dyDescent="0.2">
      <c r="A187" s="363">
        <v>2</v>
      </c>
      <c r="B187" s="364">
        <v>3</v>
      </c>
      <c r="C187" s="364">
        <v>2</v>
      </c>
      <c r="D187" s="364">
        <v>4</v>
      </c>
      <c r="E187" s="364" t="s">
        <v>610</v>
      </c>
      <c r="F187" s="365" t="s">
        <v>751</v>
      </c>
      <c r="G187" s="373"/>
      <c r="H187" s="27"/>
      <c r="I187" s="27"/>
      <c r="J187" s="343">
        <f>SUBTOTAL(9,G187:I187)</f>
        <v>0</v>
      </c>
      <c r="K187" s="345">
        <f t="shared" si="12"/>
        <v>0</v>
      </c>
    </row>
    <row r="188" spans="1:11" ht="12.75" x14ac:dyDescent="0.2">
      <c r="A188" s="355">
        <v>2</v>
      </c>
      <c r="B188" s="356">
        <v>3</v>
      </c>
      <c r="C188" s="356">
        <v>3</v>
      </c>
      <c r="D188" s="356"/>
      <c r="E188" s="356"/>
      <c r="F188" s="357" t="s">
        <v>752</v>
      </c>
      <c r="G188" s="358">
        <f>+G189+G191+G193+G195</f>
        <v>0</v>
      </c>
      <c r="H188" s="358">
        <f>+H189+H191+H193+H195</f>
        <v>0</v>
      </c>
      <c r="I188" s="358">
        <f>+I189+I191+I193+I195</f>
        <v>0</v>
      </c>
      <c r="J188" s="358">
        <f>+J189+J191+J193+J195</f>
        <v>0</v>
      </c>
      <c r="K188" s="358">
        <f>+K189+K191+K193+K195</f>
        <v>0</v>
      </c>
    </row>
    <row r="189" spans="1:11" ht="12.75" x14ac:dyDescent="0.2">
      <c r="A189" s="359">
        <v>2</v>
      </c>
      <c r="B189" s="360">
        <v>3</v>
      </c>
      <c r="C189" s="360">
        <v>3</v>
      </c>
      <c r="D189" s="360">
        <v>1</v>
      </c>
      <c r="E189" s="360"/>
      <c r="F189" s="372" t="s">
        <v>753</v>
      </c>
      <c r="G189" s="362">
        <f>G190</f>
        <v>0</v>
      </c>
      <c r="H189" s="362">
        <f>H190</f>
        <v>0</v>
      </c>
      <c r="I189" s="362">
        <f>I190</f>
        <v>0</v>
      </c>
      <c r="J189" s="362">
        <f>J190</f>
        <v>0</v>
      </c>
      <c r="K189" s="53">
        <f>K190</f>
        <v>0</v>
      </c>
    </row>
    <row r="190" spans="1:11" ht="12.75" x14ac:dyDescent="0.2">
      <c r="A190" s="363">
        <v>2</v>
      </c>
      <c r="B190" s="364">
        <v>3</v>
      </c>
      <c r="C190" s="364">
        <v>3</v>
      </c>
      <c r="D190" s="364">
        <v>1</v>
      </c>
      <c r="E190" s="364" t="s">
        <v>610</v>
      </c>
      <c r="F190" s="365" t="s">
        <v>753</v>
      </c>
      <c r="G190" s="366"/>
      <c r="H190" s="366"/>
      <c r="I190" s="366"/>
      <c r="J190" s="344">
        <f>SUBTOTAL(9,G190:I190)</f>
        <v>0</v>
      </c>
      <c r="K190" s="345">
        <f t="shared" si="12"/>
        <v>0</v>
      </c>
    </row>
    <row r="191" spans="1:11" ht="12.75" x14ac:dyDescent="0.2">
      <c r="A191" s="359">
        <v>2</v>
      </c>
      <c r="B191" s="360">
        <v>3</v>
      </c>
      <c r="C191" s="360">
        <v>3</v>
      </c>
      <c r="D191" s="360">
        <v>2</v>
      </c>
      <c r="E191" s="360"/>
      <c r="F191" s="372" t="s">
        <v>754</v>
      </c>
      <c r="G191" s="374">
        <f>+G192</f>
        <v>0</v>
      </c>
      <c r="H191" s="374">
        <f>+H192</f>
        <v>0</v>
      </c>
      <c r="I191" s="374">
        <f>+I192</f>
        <v>0</v>
      </c>
      <c r="J191" s="374">
        <f>+J192</f>
        <v>0</v>
      </c>
      <c r="K191" s="53">
        <f>+K192</f>
        <v>0</v>
      </c>
    </row>
    <row r="192" spans="1:11" ht="12.75" x14ac:dyDescent="0.2">
      <c r="A192" s="363">
        <v>2</v>
      </c>
      <c r="B192" s="364">
        <v>3</v>
      </c>
      <c r="C192" s="364">
        <v>3</v>
      </c>
      <c r="D192" s="364">
        <v>2</v>
      </c>
      <c r="E192" s="364" t="s">
        <v>610</v>
      </c>
      <c r="F192" s="365" t="s">
        <v>754</v>
      </c>
      <c r="G192" s="366"/>
      <c r="H192" s="366"/>
      <c r="I192" s="366"/>
      <c r="J192" s="344">
        <f t="shared" ref="J192:J202" si="16">SUBTOTAL(9,G192:I192)</f>
        <v>0</v>
      </c>
      <c r="K192" s="345">
        <f t="shared" si="12"/>
        <v>0</v>
      </c>
    </row>
    <row r="193" spans="1:11" ht="12.75" x14ac:dyDescent="0.2">
      <c r="A193" s="359">
        <v>2</v>
      </c>
      <c r="B193" s="360">
        <v>3</v>
      </c>
      <c r="C193" s="360">
        <v>3</v>
      </c>
      <c r="D193" s="360">
        <v>3</v>
      </c>
      <c r="E193" s="360"/>
      <c r="F193" s="372" t="s">
        <v>755</v>
      </c>
      <c r="G193" s="374">
        <f>+G194</f>
        <v>0</v>
      </c>
      <c r="H193" s="374">
        <f>+H194</f>
        <v>0</v>
      </c>
      <c r="I193" s="374">
        <f>+I194</f>
        <v>0</v>
      </c>
      <c r="J193" s="344">
        <f t="shared" si="16"/>
        <v>0</v>
      </c>
      <c r="K193" s="345">
        <f t="shared" ref="K193:K256" si="17">IFERROR(J193/$J$18*100,"0.00")</f>
        <v>0</v>
      </c>
    </row>
    <row r="194" spans="1:11" ht="12.75" x14ac:dyDescent="0.2">
      <c r="A194" s="363">
        <v>2</v>
      </c>
      <c r="B194" s="364">
        <v>3</v>
      </c>
      <c r="C194" s="364">
        <v>3</v>
      </c>
      <c r="D194" s="364">
        <v>3</v>
      </c>
      <c r="E194" s="364" t="s">
        <v>610</v>
      </c>
      <c r="F194" s="365" t="s">
        <v>755</v>
      </c>
      <c r="G194" s="366"/>
      <c r="H194" s="27"/>
      <c r="I194" s="27"/>
      <c r="J194" s="344">
        <f t="shared" si="16"/>
        <v>0</v>
      </c>
      <c r="K194" s="345">
        <f t="shared" si="17"/>
        <v>0</v>
      </c>
    </row>
    <row r="195" spans="1:11" ht="12.75" x14ac:dyDescent="0.2">
      <c r="A195" s="359">
        <v>2</v>
      </c>
      <c r="B195" s="360">
        <v>3</v>
      </c>
      <c r="C195" s="360">
        <v>3</v>
      </c>
      <c r="D195" s="360">
        <v>4</v>
      </c>
      <c r="E195" s="360"/>
      <c r="F195" s="372" t="s">
        <v>756</v>
      </c>
      <c r="G195" s="374">
        <f>+G196</f>
        <v>0</v>
      </c>
      <c r="H195" s="374">
        <f>+H196</f>
        <v>0</v>
      </c>
      <c r="I195" s="374">
        <f>+I196</f>
        <v>0</v>
      </c>
      <c r="J195" s="374">
        <f>+J196</f>
        <v>0</v>
      </c>
      <c r="K195" s="53">
        <f>+K196</f>
        <v>0</v>
      </c>
    </row>
    <row r="196" spans="1:11" ht="12.75" x14ac:dyDescent="0.2">
      <c r="A196" s="363">
        <v>2</v>
      </c>
      <c r="B196" s="364">
        <v>3</v>
      </c>
      <c r="C196" s="364">
        <v>3</v>
      </c>
      <c r="D196" s="364">
        <v>4</v>
      </c>
      <c r="E196" s="364" t="s">
        <v>610</v>
      </c>
      <c r="F196" s="365" t="s">
        <v>756</v>
      </c>
      <c r="G196" s="373"/>
      <c r="H196" s="373"/>
      <c r="I196" s="373"/>
      <c r="J196" s="344">
        <f t="shared" si="16"/>
        <v>0</v>
      </c>
      <c r="K196" s="345">
        <f t="shared" si="17"/>
        <v>0</v>
      </c>
    </row>
    <row r="197" spans="1:11" ht="12.75" x14ac:dyDescent="0.2">
      <c r="A197" s="355">
        <v>2</v>
      </c>
      <c r="B197" s="356">
        <v>3</v>
      </c>
      <c r="C197" s="356">
        <v>4</v>
      </c>
      <c r="D197" s="356"/>
      <c r="E197" s="356"/>
      <c r="F197" s="357" t="s">
        <v>757</v>
      </c>
      <c r="G197" s="358">
        <f t="shared" ref="G197:K198" si="18">+G198</f>
        <v>5626570</v>
      </c>
      <c r="H197" s="358">
        <f t="shared" si="18"/>
        <v>5626570</v>
      </c>
      <c r="I197" s="358">
        <f t="shared" si="18"/>
        <v>0</v>
      </c>
      <c r="J197" s="358">
        <f t="shared" si="18"/>
        <v>11253140</v>
      </c>
      <c r="K197" s="379">
        <f t="shared" si="18"/>
        <v>2.3973223598742397</v>
      </c>
    </row>
    <row r="198" spans="1:11" ht="12.75" x14ac:dyDescent="0.2">
      <c r="A198" s="359">
        <v>2</v>
      </c>
      <c r="B198" s="360">
        <v>3</v>
      </c>
      <c r="C198" s="360">
        <v>4</v>
      </c>
      <c r="D198" s="360">
        <v>1</v>
      </c>
      <c r="E198" s="360"/>
      <c r="F198" s="372" t="s">
        <v>758</v>
      </c>
      <c r="G198" s="374">
        <f t="shared" si="18"/>
        <v>5626570</v>
      </c>
      <c r="H198" s="374">
        <f t="shared" si="18"/>
        <v>5626570</v>
      </c>
      <c r="I198" s="374">
        <f t="shared" si="18"/>
        <v>0</v>
      </c>
      <c r="J198" s="374">
        <f t="shared" si="18"/>
        <v>11253140</v>
      </c>
      <c r="K198" s="53">
        <f t="shared" si="18"/>
        <v>2.3973223598742397</v>
      </c>
    </row>
    <row r="199" spans="1:11" ht="12.75" x14ac:dyDescent="0.2">
      <c r="A199" s="363">
        <v>2</v>
      </c>
      <c r="B199" s="364">
        <v>3</v>
      </c>
      <c r="C199" s="364">
        <v>4</v>
      </c>
      <c r="D199" s="364">
        <v>1</v>
      </c>
      <c r="E199" s="364" t="s">
        <v>610</v>
      </c>
      <c r="F199" s="365" t="s">
        <v>758</v>
      </c>
      <c r="G199" s="366">
        <v>5626570</v>
      </c>
      <c r="H199" s="27">
        <v>5626570</v>
      </c>
      <c r="I199" s="27"/>
      <c r="J199" s="344">
        <f t="shared" si="16"/>
        <v>11253140</v>
      </c>
      <c r="K199" s="345">
        <f t="shared" si="17"/>
        <v>2.3973223598742397</v>
      </c>
    </row>
    <row r="200" spans="1:11" ht="12.75" x14ac:dyDescent="0.2">
      <c r="A200" s="355">
        <v>2</v>
      </c>
      <c r="B200" s="356">
        <v>3</v>
      </c>
      <c r="C200" s="356">
        <v>5</v>
      </c>
      <c r="D200" s="356"/>
      <c r="E200" s="356"/>
      <c r="F200" s="357" t="s">
        <v>759</v>
      </c>
      <c r="G200" s="358">
        <f>+G201+G203+G205+G207</f>
        <v>0</v>
      </c>
      <c r="H200" s="358">
        <f>+H201+H203+H205+H207</f>
        <v>0</v>
      </c>
      <c r="I200" s="358">
        <f>+I201+I203+I205+I207</f>
        <v>0</v>
      </c>
      <c r="J200" s="358">
        <f>+J201+J203+J205+J207</f>
        <v>0</v>
      </c>
      <c r="K200" s="358">
        <f>+K201+K203+K205+K207</f>
        <v>0</v>
      </c>
    </row>
    <row r="201" spans="1:11" ht="12.75" x14ac:dyDescent="0.2">
      <c r="A201" s="359">
        <v>2</v>
      </c>
      <c r="B201" s="360">
        <v>3</v>
      </c>
      <c r="C201" s="360">
        <v>5</v>
      </c>
      <c r="D201" s="360">
        <v>2</v>
      </c>
      <c r="E201" s="360"/>
      <c r="F201" s="372" t="s">
        <v>760</v>
      </c>
      <c r="G201" s="374">
        <f>+G202</f>
        <v>0</v>
      </c>
      <c r="H201" s="374">
        <f>+H202</f>
        <v>0</v>
      </c>
      <c r="I201" s="374">
        <f>+I202</f>
        <v>0</v>
      </c>
      <c r="J201" s="374">
        <f>+J202</f>
        <v>0</v>
      </c>
      <c r="K201" s="53">
        <f>+K202</f>
        <v>0</v>
      </c>
    </row>
    <row r="202" spans="1:11" ht="12.75" x14ac:dyDescent="0.2">
      <c r="A202" s="363">
        <v>2</v>
      </c>
      <c r="B202" s="364">
        <v>3</v>
      </c>
      <c r="C202" s="364">
        <v>5</v>
      </c>
      <c r="D202" s="364">
        <v>2</v>
      </c>
      <c r="E202" s="364" t="s">
        <v>610</v>
      </c>
      <c r="F202" s="365" t="s">
        <v>760</v>
      </c>
      <c r="G202" s="373"/>
      <c r="H202" s="27"/>
      <c r="I202" s="27"/>
      <c r="J202" s="344">
        <f t="shared" si="16"/>
        <v>0</v>
      </c>
      <c r="K202" s="345">
        <f t="shared" si="17"/>
        <v>0</v>
      </c>
    </row>
    <row r="203" spans="1:11" ht="12.75" x14ac:dyDescent="0.2">
      <c r="A203" s="359">
        <v>2</v>
      </c>
      <c r="B203" s="360">
        <v>3</v>
      </c>
      <c r="C203" s="360">
        <v>5</v>
      </c>
      <c r="D203" s="360">
        <v>3</v>
      </c>
      <c r="E203" s="360"/>
      <c r="F203" s="372" t="s">
        <v>761</v>
      </c>
      <c r="G203" s="374">
        <f>+G204</f>
        <v>0</v>
      </c>
      <c r="H203" s="374">
        <f>+H204</f>
        <v>0</v>
      </c>
      <c r="I203" s="374">
        <f>+I204</f>
        <v>0</v>
      </c>
      <c r="J203" s="374">
        <f>+J204</f>
        <v>0</v>
      </c>
      <c r="K203" s="53">
        <f>+K204</f>
        <v>0</v>
      </c>
    </row>
    <row r="204" spans="1:11" ht="12.75" x14ac:dyDescent="0.2">
      <c r="A204" s="363">
        <v>2</v>
      </c>
      <c r="B204" s="364">
        <v>3</v>
      </c>
      <c r="C204" s="364">
        <v>5</v>
      </c>
      <c r="D204" s="364">
        <v>3</v>
      </c>
      <c r="E204" s="364" t="s">
        <v>610</v>
      </c>
      <c r="F204" s="365" t="s">
        <v>761</v>
      </c>
      <c r="G204" s="366"/>
      <c r="H204" s="27"/>
      <c r="I204" s="27"/>
      <c r="J204" s="343">
        <f>SUBTOTAL(9,G204:I204)</f>
        <v>0</v>
      </c>
      <c r="K204" s="345">
        <f t="shared" si="17"/>
        <v>0</v>
      </c>
    </row>
    <row r="205" spans="1:11" ht="12.75" x14ac:dyDescent="0.2">
      <c r="A205" s="359">
        <v>2</v>
      </c>
      <c r="B205" s="360">
        <v>3</v>
      </c>
      <c r="C205" s="360">
        <v>5</v>
      </c>
      <c r="D205" s="360">
        <v>4</v>
      </c>
      <c r="E205" s="360"/>
      <c r="F205" s="372" t="s">
        <v>762</v>
      </c>
      <c r="G205" s="374">
        <f>+G206</f>
        <v>0</v>
      </c>
      <c r="H205" s="374">
        <f>+H206</f>
        <v>0</v>
      </c>
      <c r="I205" s="374">
        <f>+I206</f>
        <v>0</v>
      </c>
      <c r="J205" s="374">
        <f>+J206</f>
        <v>0</v>
      </c>
      <c r="K205" s="53">
        <f>+K206</f>
        <v>0</v>
      </c>
    </row>
    <row r="206" spans="1:11" ht="12.75" x14ac:dyDescent="0.2">
      <c r="A206" s="363">
        <v>2</v>
      </c>
      <c r="B206" s="364">
        <v>3</v>
      </c>
      <c r="C206" s="364">
        <v>5</v>
      </c>
      <c r="D206" s="364">
        <v>4</v>
      </c>
      <c r="E206" s="364" t="s">
        <v>610</v>
      </c>
      <c r="F206" s="365" t="s">
        <v>762</v>
      </c>
      <c r="G206" s="373"/>
      <c r="H206" s="27"/>
      <c r="I206" s="27"/>
      <c r="J206" s="343">
        <f>SUBTOTAL(9,G206:I206)</f>
        <v>0</v>
      </c>
      <c r="K206" s="345">
        <f t="shared" si="17"/>
        <v>0</v>
      </c>
    </row>
    <row r="207" spans="1:11" ht="12.75" x14ac:dyDescent="0.2">
      <c r="A207" s="359">
        <v>2</v>
      </c>
      <c r="B207" s="360">
        <v>3</v>
      </c>
      <c r="C207" s="360">
        <v>5</v>
      </c>
      <c r="D207" s="360">
        <v>5</v>
      </c>
      <c r="E207" s="360"/>
      <c r="F207" s="372" t="s">
        <v>763</v>
      </c>
      <c r="G207" s="374">
        <f>+G208</f>
        <v>0</v>
      </c>
      <c r="H207" s="374">
        <f>+H208</f>
        <v>0</v>
      </c>
      <c r="I207" s="374">
        <f>+I208</f>
        <v>0</v>
      </c>
      <c r="J207" s="374">
        <f>+J208</f>
        <v>0</v>
      </c>
      <c r="K207" s="53">
        <f>+K208</f>
        <v>0</v>
      </c>
    </row>
    <row r="208" spans="1:11" ht="12.75" x14ac:dyDescent="0.2">
      <c r="A208" s="363">
        <v>2</v>
      </c>
      <c r="B208" s="364">
        <v>3</v>
      </c>
      <c r="C208" s="364">
        <v>5</v>
      </c>
      <c r="D208" s="364">
        <v>5</v>
      </c>
      <c r="E208" s="364" t="s">
        <v>610</v>
      </c>
      <c r="F208" s="365" t="s">
        <v>764</v>
      </c>
      <c r="G208" s="366"/>
      <c r="H208" s="30"/>
      <c r="I208" s="30"/>
      <c r="J208" s="344">
        <f>SUM(J209:J211)</f>
        <v>0</v>
      </c>
      <c r="K208" s="345">
        <f t="shared" si="17"/>
        <v>0</v>
      </c>
    </row>
    <row r="209" spans="1:11" ht="12.75" x14ac:dyDescent="0.2">
      <c r="A209" s="355">
        <v>2</v>
      </c>
      <c r="B209" s="356">
        <v>3</v>
      </c>
      <c r="C209" s="356">
        <v>6</v>
      </c>
      <c r="D209" s="356"/>
      <c r="E209" s="356"/>
      <c r="F209" s="357" t="s">
        <v>765</v>
      </c>
      <c r="G209" s="358">
        <f>+G210+G214+G218+G222</f>
        <v>0</v>
      </c>
      <c r="H209" s="358">
        <f>+H210+H214+H218+H222</f>
        <v>0</v>
      </c>
      <c r="I209" s="358">
        <f>+I210+I214+I218+I222</f>
        <v>0</v>
      </c>
      <c r="J209" s="358">
        <f>+J210+J214+J218+J222</f>
        <v>0</v>
      </c>
      <c r="K209" s="358">
        <f>+K210+K214+K218+K222</f>
        <v>0</v>
      </c>
    </row>
    <row r="210" spans="1:11" ht="12.75" x14ac:dyDescent="0.2">
      <c r="A210" s="359">
        <v>2</v>
      </c>
      <c r="B210" s="360">
        <v>3</v>
      </c>
      <c r="C210" s="360">
        <v>6</v>
      </c>
      <c r="D210" s="360">
        <v>1</v>
      </c>
      <c r="E210" s="360"/>
      <c r="F210" s="372" t="s">
        <v>766</v>
      </c>
      <c r="G210" s="374">
        <f>+G211+G212+G213</f>
        <v>0</v>
      </c>
      <c r="H210" s="374">
        <f>+H211+H212+H213</f>
        <v>0</v>
      </c>
      <c r="I210" s="374">
        <f>+I211+I212+I213</f>
        <v>0</v>
      </c>
      <c r="J210" s="374">
        <f>+J211+J212+J213</f>
        <v>0</v>
      </c>
      <c r="K210" s="53">
        <f>+K211+K212+K213</f>
        <v>0</v>
      </c>
    </row>
    <row r="211" spans="1:11" ht="12.75" x14ac:dyDescent="0.2">
      <c r="A211" s="363">
        <v>2</v>
      </c>
      <c r="B211" s="364">
        <v>3</v>
      </c>
      <c r="C211" s="364">
        <v>6</v>
      </c>
      <c r="D211" s="364">
        <v>1</v>
      </c>
      <c r="E211" s="364" t="s">
        <v>610</v>
      </c>
      <c r="F211" s="365" t="s">
        <v>767</v>
      </c>
      <c r="G211" s="366"/>
      <c r="H211" s="27"/>
      <c r="I211" s="27"/>
      <c r="J211" s="343">
        <f>SUBTOTAL(9,G211:I211)</f>
        <v>0</v>
      </c>
      <c r="K211" s="345">
        <f t="shared" si="17"/>
        <v>0</v>
      </c>
    </row>
    <row r="212" spans="1:11" ht="12.75" x14ac:dyDescent="0.2">
      <c r="A212" s="363">
        <v>2</v>
      </c>
      <c r="B212" s="364">
        <v>3</v>
      </c>
      <c r="C212" s="364">
        <v>6</v>
      </c>
      <c r="D212" s="364">
        <v>1</v>
      </c>
      <c r="E212" s="364" t="s">
        <v>612</v>
      </c>
      <c r="F212" s="365" t="s">
        <v>768</v>
      </c>
      <c r="G212" s="366"/>
      <c r="H212" s="366"/>
      <c r="I212" s="366"/>
      <c r="J212" s="344">
        <f>SUM(J213:J217)</f>
        <v>0</v>
      </c>
      <c r="K212" s="345">
        <f t="shared" si="17"/>
        <v>0</v>
      </c>
    </row>
    <row r="213" spans="1:11" ht="12.75" x14ac:dyDescent="0.2">
      <c r="A213" s="363">
        <v>2</v>
      </c>
      <c r="B213" s="364">
        <v>3</v>
      </c>
      <c r="C213" s="364">
        <v>6</v>
      </c>
      <c r="D213" s="364">
        <v>1</v>
      </c>
      <c r="E213" s="364" t="s">
        <v>634</v>
      </c>
      <c r="F213" s="365" t="s">
        <v>769</v>
      </c>
      <c r="G213" s="366"/>
      <c r="H213" s="27"/>
      <c r="I213" s="27"/>
      <c r="J213" s="343">
        <f>SUBTOTAL(9,G213:I213)</f>
        <v>0</v>
      </c>
      <c r="K213" s="345">
        <f t="shared" si="17"/>
        <v>0</v>
      </c>
    </row>
    <row r="214" spans="1:11" ht="12.75" x14ac:dyDescent="0.2">
      <c r="A214" s="359">
        <v>2</v>
      </c>
      <c r="B214" s="360">
        <v>3</v>
      </c>
      <c r="C214" s="360">
        <v>6</v>
      </c>
      <c r="D214" s="360">
        <v>2</v>
      </c>
      <c r="E214" s="360"/>
      <c r="F214" s="372" t="s">
        <v>770</v>
      </c>
      <c r="G214" s="374">
        <f>+G215+G216+G217</f>
        <v>0</v>
      </c>
      <c r="H214" s="374">
        <f>+H215+H216+H217</f>
        <v>0</v>
      </c>
      <c r="I214" s="374">
        <f>+I215+I216+I217</f>
        <v>0</v>
      </c>
      <c r="J214" s="374">
        <f>+J215+J216+J217</f>
        <v>0</v>
      </c>
      <c r="K214" s="53">
        <f>+K215+K216+K217</f>
        <v>0</v>
      </c>
    </row>
    <row r="215" spans="1:11" ht="12.75" x14ac:dyDescent="0.2">
      <c r="A215" s="363">
        <v>2</v>
      </c>
      <c r="B215" s="364">
        <v>3</v>
      </c>
      <c r="C215" s="364">
        <v>6</v>
      </c>
      <c r="D215" s="364">
        <v>2</v>
      </c>
      <c r="E215" s="364" t="s">
        <v>610</v>
      </c>
      <c r="F215" s="365" t="s">
        <v>771</v>
      </c>
      <c r="G215" s="366"/>
      <c r="H215" s="27"/>
      <c r="I215" s="27"/>
      <c r="J215" s="343">
        <f>SUBTOTAL(9,G215:I215)</f>
        <v>0</v>
      </c>
      <c r="K215" s="345">
        <f t="shared" si="17"/>
        <v>0</v>
      </c>
    </row>
    <row r="216" spans="1:11" ht="12.75" x14ac:dyDescent="0.2">
      <c r="A216" s="363">
        <v>2</v>
      </c>
      <c r="B216" s="364">
        <v>3</v>
      </c>
      <c r="C216" s="364">
        <v>6</v>
      </c>
      <c r="D216" s="364">
        <v>2</v>
      </c>
      <c r="E216" s="364" t="s">
        <v>612</v>
      </c>
      <c r="F216" s="365" t="s">
        <v>772</v>
      </c>
      <c r="G216" s="366"/>
      <c r="H216" s="27"/>
      <c r="I216" s="27"/>
      <c r="J216" s="343">
        <f>SUBTOTAL(9,G216:I216)</f>
        <v>0</v>
      </c>
      <c r="K216" s="345">
        <f t="shared" si="17"/>
        <v>0</v>
      </c>
    </row>
    <row r="217" spans="1:11" ht="12.75" x14ac:dyDescent="0.2">
      <c r="A217" s="363">
        <v>2</v>
      </c>
      <c r="B217" s="364">
        <v>3</v>
      </c>
      <c r="C217" s="364">
        <v>6</v>
      </c>
      <c r="D217" s="364">
        <v>2</v>
      </c>
      <c r="E217" s="364" t="s">
        <v>619</v>
      </c>
      <c r="F217" s="365" t="s">
        <v>773</v>
      </c>
      <c r="G217" s="373"/>
      <c r="H217" s="27"/>
      <c r="I217" s="27"/>
      <c r="J217" s="343">
        <f>SUBTOTAL(9,G217:I217)</f>
        <v>0</v>
      </c>
      <c r="K217" s="345">
        <f t="shared" si="17"/>
        <v>0</v>
      </c>
    </row>
    <row r="218" spans="1:11" ht="12.75" x14ac:dyDescent="0.2">
      <c r="A218" s="359">
        <v>2</v>
      </c>
      <c r="B218" s="360">
        <v>3</v>
      </c>
      <c r="C218" s="360">
        <v>6</v>
      </c>
      <c r="D218" s="360">
        <v>3</v>
      </c>
      <c r="E218" s="360"/>
      <c r="F218" s="372" t="s">
        <v>774</v>
      </c>
      <c r="G218" s="374">
        <f>+G219+G220+G221</f>
        <v>0</v>
      </c>
      <c r="H218" s="374">
        <f>+H219+H220+H221</f>
        <v>0</v>
      </c>
      <c r="I218" s="374">
        <f>+I219+I220+I221</f>
        <v>0</v>
      </c>
      <c r="J218" s="374">
        <f>+J219+J220+J221</f>
        <v>0</v>
      </c>
      <c r="K218" s="53">
        <f>+K219+K220+K221</f>
        <v>0</v>
      </c>
    </row>
    <row r="219" spans="1:11" ht="12.75" x14ac:dyDescent="0.2">
      <c r="A219" s="363">
        <v>2</v>
      </c>
      <c r="B219" s="364">
        <v>3</v>
      </c>
      <c r="C219" s="364">
        <v>6</v>
      </c>
      <c r="D219" s="364">
        <v>3</v>
      </c>
      <c r="E219" s="364" t="s">
        <v>634</v>
      </c>
      <c r="F219" s="365" t="s">
        <v>775</v>
      </c>
      <c r="G219" s="366"/>
      <c r="H219" s="366"/>
      <c r="I219" s="366"/>
      <c r="J219" s="343">
        <f>SUBTOTAL(9,G219:I219)</f>
        <v>0</v>
      </c>
      <c r="K219" s="345">
        <f t="shared" si="17"/>
        <v>0</v>
      </c>
    </row>
    <row r="220" spans="1:11" ht="12.75" x14ac:dyDescent="0.2">
      <c r="A220" s="363">
        <v>2</v>
      </c>
      <c r="B220" s="364">
        <v>3</v>
      </c>
      <c r="C220" s="364">
        <v>6</v>
      </c>
      <c r="D220" s="364">
        <v>3</v>
      </c>
      <c r="E220" s="364" t="s">
        <v>614</v>
      </c>
      <c r="F220" s="365" t="s">
        <v>776</v>
      </c>
      <c r="G220" s="366"/>
      <c r="H220" s="366"/>
      <c r="I220" s="366"/>
      <c r="J220" s="343">
        <f>SUBTOTAL(9,G220:I220)</f>
        <v>0</v>
      </c>
      <c r="K220" s="345">
        <f t="shared" si="17"/>
        <v>0</v>
      </c>
    </row>
    <row r="221" spans="1:11" ht="12.75" x14ac:dyDescent="0.2">
      <c r="A221" s="363">
        <v>2</v>
      </c>
      <c r="B221" s="364">
        <v>3</v>
      </c>
      <c r="C221" s="364">
        <v>6</v>
      </c>
      <c r="D221" s="364">
        <v>3</v>
      </c>
      <c r="E221" s="364" t="s">
        <v>616</v>
      </c>
      <c r="F221" s="365" t="s">
        <v>777</v>
      </c>
      <c r="G221" s="373"/>
      <c r="H221" s="373"/>
      <c r="I221" s="373"/>
      <c r="J221" s="343">
        <f>SUBTOTAL(9,G221:I221)</f>
        <v>0</v>
      </c>
      <c r="K221" s="345">
        <f t="shared" si="17"/>
        <v>0</v>
      </c>
    </row>
    <row r="222" spans="1:11" ht="12.75" x14ac:dyDescent="0.2">
      <c r="A222" s="359">
        <v>2</v>
      </c>
      <c r="B222" s="360">
        <v>3</v>
      </c>
      <c r="C222" s="360">
        <v>6</v>
      </c>
      <c r="D222" s="360">
        <v>4</v>
      </c>
      <c r="E222" s="360"/>
      <c r="F222" s="372" t="s">
        <v>778</v>
      </c>
      <c r="G222" s="374">
        <f>+G223</f>
        <v>0</v>
      </c>
      <c r="H222" s="374">
        <f>+H223</f>
        <v>0</v>
      </c>
      <c r="I222" s="374">
        <f>+I223</f>
        <v>0</v>
      </c>
      <c r="J222" s="374">
        <f>+J223</f>
        <v>0</v>
      </c>
      <c r="K222" s="53">
        <f>+K223</f>
        <v>0</v>
      </c>
    </row>
    <row r="223" spans="1:11" ht="12.75" x14ac:dyDescent="0.2">
      <c r="A223" s="363">
        <v>2</v>
      </c>
      <c r="B223" s="364">
        <v>3</v>
      </c>
      <c r="C223" s="364">
        <v>6</v>
      </c>
      <c r="D223" s="364">
        <v>4</v>
      </c>
      <c r="E223" s="364" t="s">
        <v>634</v>
      </c>
      <c r="F223" s="365" t="s">
        <v>779</v>
      </c>
      <c r="G223" s="366"/>
      <c r="H223" s="366"/>
      <c r="I223" s="366"/>
      <c r="J223" s="343">
        <f>SUBTOTAL(9,G223:I223)</f>
        <v>0</v>
      </c>
      <c r="K223" s="345">
        <f t="shared" si="17"/>
        <v>0</v>
      </c>
    </row>
    <row r="224" spans="1:11" ht="12.75" x14ac:dyDescent="0.2">
      <c r="A224" s="355">
        <v>2</v>
      </c>
      <c r="B224" s="356">
        <v>3</v>
      </c>
      <c r="C224" s="356">
        <v>7</v>
      </c>
      <c r="D224" s="356"/>
      <c r="E224" s="356"/>
      <c r="F224" s="357" t="s">
        <v>780</v>
      </c>
      <c r="G224" s="358">
        <f>+G225+G232</f>
        <v>978744.3</v>
      </c>
      <c r="H224" s="358">
        <f>+H225+H232</f>
        <v>2171418.7999999998</v>
      </c>
      <c r="I224" s="358">
        <f>+I225+I232</f>
        <v>0</v>
      </c>
      <c r="J224" s="358">
        <f>+J225+J232</f>
        <v>3150163.1</v>
      </c>
      <c r="K224" s="358">
        <f>+K225+K232</f>
        <v>0.67109770578529648</v>
      </c>
    </row>
    <row r="225" spans="1:11" ht="12.75" x14ac:dyDescent="0.2">
      <c r="A225" s="359">
        <v>2</v>
      </c>
      <c r="B225" s="360">
        <v>3</v>
      </c>
      <c r="C225" s="360">
        <v>7</v>
      </c>
      <c r="D225" s="360">
        <v>1</v>
      </c>
      <c r="E225" s="360"/>
      <c r="F225" s="372" t="s">
        <v>781</v>
      </c>
      <c r="G225" s="374">
        <f>+G226+G227+G228+G229+G230+G231</f>
        <v>0</v>
      </c>
      <c r="H225" s="374">
        <f>+H226+H227+H228+H229+H230+H231</f>
        <v>1242540</v>
      </c>
      <c r="I225" s="374">
        <f>+I226+I227+I228+I229+I230+I231</f>
        <v>0</v>
      </c>
      <c r="J225" s="374">
        <f>+J226+J227+J228+J229+J230+J231</f>
        <v>1242540</v>
      </c>
      <c r="K225" s="53">
        <f>+K226+K227+K228+K229+K230+K231</f>
        <v>0.26470557773547093</v>
      </c>
    </row>
    <row r="226" spans="1:11" ht="12.75" x14ac:dyDescent="0.2">
      <c r="A226" s="363">
        <v>2</v>
      </c>
      <c r="B226" s="364">
        <v>3</v>
      </c>
      <c r="C226" s="364">
        <v>7</v>
      </c>
      <c r="D226" s="364">
        <v>1</v>
      </c>
      <c r="E226" s="364" t="s">
        <v>610</v>
      </c>
      <c r="F226" s="365" t="s">
        <v>782</v>
      </c>
      <c r="G226" s="366"/>
      <c r="H226" s="366">
        <v>400400</v>
      </c>
      <c r="I226" s="366"/>
      <c r="J226" s="343">
        <f t="shared" ref="J226:J231" si="19">SUBTOTAL(9,G226:I226)</f>
        <v>400400</v>
      </c>
      <c r="K226" s="345">
        <f t="shared" si="17"/>
        <v>8.52995584249059E-2</v>
      </c>
    </row>
    <row r="227" spans="1:11" ht="12.75" x14ac:dyDescent="0.2">
      <c r="A227" s="363">
        <v>2</v>
      </c>
      <c r="B227" s="364">
        <v>3</v>
      </c>
      <c r="C227" s="364">
        <v>7</v>
      </c>
      <c r="D227" s="364">
        <v>1</v>
      </c>
      <c r="E227" s="364" t="s">
        <v>612</v>
      </c>
      <c r="F227" s="365" t="s">
        <v>783</v>
      </c>
      <c r="G227" s="366"/>
      <c r="H227" s="366">
        <v>492000</v>
      </c>
      <c r="I227" s="366"/>
      <c r="J227" s="343">
        <f t="shared" si="19"/>
        <v>492000</v>
      </c>
      <c r="K227" s="345">
        <f t="shared" si="17"/>
        <v>0.10481364321941483</v>
      </c>
    </row>
    <row r="228" spans="1:11" ht="12.75" x14ac:dyDescent="0.2">
      <c r="A228" s="363">
        <v>2</v>
      </c>
      <c r="B228" s="364">
        <v>3</v>
      </c>
      <c r="C228" s="364">
        <v>7</v>
      </c>
      <c r="D228" s="364">
        <v>1</v>
      </c>
      <c r="E228" s="364" t="s">
        <v>619</v>
      </c>
      <c r="F228" s="365" t="s">
        <v>784</v>
      </c>
      <c r="G228" s="366"/>
      <c r="H228" s="366"/>
      <c r="I228" s="366"/>
      <c r="J228" s="343">
        <f t="shared" si="19"/>
        <v>0</v>
      </c>
      <c r="K228" s="345">
        <f t="shared" si="17"/>
        <v>0</v>
      </c>
    </row>
    <row r="229" spans="1:11" ht="12.75" x14ac:dyDescent="0.2">
      <c r="A229" s="363">
        <v>2</v>
      </c>
      <c r="B229" s="364">
        <v>3</v>
      </c>
      <c r="C229" s="364">
        <v>7</v>
      </c>
      <c r="D229" s="364">
        <v>1</v>
      </c>
      <c r="E229" s="364" t="s">
        <v>634</v>
      </c>
      <c r="F229" s="365" t="s">
        <v>785</v>
      </c>
      <c r="G229" s="366"/>
      <c r="H229" s="366">
        <v>350140</v>
      </c>
      <c r="I229" s="366"/>
      <c r="J229" s="343">
        <f t="shared" si="19"/>
        <v>350140</v>
      </c>
      <c r="K229" s="345">
        <f t="shared" si="17"/>
        <v>7.4592376091150228E-2</v>
      </c>
    </row>
    <row r="230" spans="1:11" ht="12.75" x14ac:dyDescent="0.2">
      <c r="A230" s="363">
        <v>2</v>
      </c>
      <c r="B230" s="364">
        <v>3</v>
      </c>
      <c r="C230" s="364">
        <v>7</v>
      </c>
      <c r="D230" s="364">
        <v>1</v>
      </c>
      <c r="E230" s="364" t="s">
        <v>614</v>
      </c>
      <c r="F230" s="365" t="s">
        <v>786</v>
      </c>
      <c r="G230" s="366"/>
      <c r="H230" s="366"/>
      <c r="I230" s="366"/>
      <c r="J230" s="343">
        <f t="shared" si="19"/>
        <v>0</v>
      </c>
      <c r="K230" s="345">
        <f t="shared" si="17"/>
        <v>0</v>
      </c>
    </row>
    <row r="231" spans="1:11" ht="12.75" x14ac:dyDescent="0.2">
      <c r="A231" s="363">
        <v>2</v>
      </c>
      <c r="B231" s="364">
        <v>3</v>
      </c>
      <c r="C231" s="364">
        <v>7</v>
      </c>
      <c r="D231" s="364">
        <v>1</v>
      </c>
      <c r="E231" s="364" t="s">
        <v>616</v>
      </c>
      <c r="F231" s="365" t="s">
        <v>787</v>
      </c>
      <c r="G231" s="366"/>
      <c r="H231" s="366"/>
      <c r="I231" s="366"/>
      <c r="J231" s="343">
        <f t="shared" si="19"/>
        <v>0</v>
      </c>
      <c r="K231" s="345">
        <f t="shared" si="17"/>
        <v>0</v>
      </c>
    </row>
    <row r="232" spans="1:11" ht="12.75" x14ac:dyDescent="0.2">
      <c r="A232" s="359">
        <v>2</v>
      </c>
      <c r="B232" s="360">
        <v>3</v>
      </c>
      <c r="C232" s="360">
        <v>7</v>
      </c>
      <c r="D232" s="360">
        <v>2</v>
      </c>
      <c r="E232" s="360"/>
      <c r="F232" s="372" t="s">
        <v>788</v>
      </c>
      <c r="G232" s="374">
        <f>+G233+G234+G235+G236</f>
        <v>978744.3</v>
      </c>
      <c r="H232" s="374">
        <f>+H233+H234+H235+H236</f>
        <v>928878.8</v>
      </c>
      <c r="I232" s="374">
        <f>+I233+I234+I235+I236</f>
        <v>0</v>
      </c>
      <c r="J232" s="374">
        <f>+J233+J234+J235+J236</f>
        <v>1907623.1</v>
      </c>
      <c r="K232" s="53">
        <f>+K233+K234+K235+K236</f>
        <v>0.4063921280498255</v>
      </c>
    </row>
    <row r="233" spans="1:11" ht="12.75" x14ac:dyDescent="0.2">
      <c r="A233" s="363">
        <v>2</v>
      </c>
      <c r="B233" s="364">
        <v>3</v>
      </c>
      <c r="C233" s="364">
        <v>7</v>
      </c>
      <c r="D233" s="364">
        <v>2</v>
      </c>
      <c r="E233" s="364" t="s">
        <v>612</v>
      </c>
      <c r="F233" s="365" t="s">
        <v>789</v>
      </c>
      <c r="G233" s="366"/>
      <c r="H233" s="366"/>
      <c r="I233" s="366"/>
      <c r="J233" s="343">
        <f>SUBTOTAL(9,G233:I233)</f>
        <v>0</v>
      </c>
      <c r="K233" s="345">
        <f t="shared" si="17"/>
        <v>0</v>
      </c>
    </row>
    <row r="234" spans="1:11" ht="12.75" x14ac:dyDescent="0.2">
      <c r="A234" s="363">
        <v>2</v>
      </c>
      <c r="B234" s="364">
        <v>3</v>
      </c>
      <c r="C234" s="364">
        <v>7</v>
      </c>
      <c r="D234" s="364">
        <v>2</v>
      </c>
      <c r="E234" s="364" t="s">
        <v>619</v>
      </c>
      <c r="F234" s="365" t="s">
        <v>790</v>
      </c>
      <c r="G234" s="366">
        <v>978744.3</v>
      </c>
      <c r="H234" s="366">
        <v>928878.8</v>
      </c>
      <c r="I234" s="366"/>
      <c r="J234" s="343">
        <f>SUBTOTAL(9,G234:I234)</f>
        <v>1907623.1</v>
      </c>
      <c r="K234" s="345">
        <f t="shared" si="17"/>
        <v>0.4063921280498255</v>
      </c>
    </row>
    <row r="235" spans="1:11" ht="12.75" x14ac:dyDescent="0.2">
      <c r="A235" s="363">
        <v>2</v>
      </c>
      <c r="B235" s="364">
        <v>3</v>
      </c>
      <c r="C235" s="364">
        <v>7</v>
      </c>
      <c r="D235" s="364">
        <v>2</v>
      </c>
      <c r="E235" s="364" t="s">
        <v>614</v>
      </c>
      <c r="F235" s="365" t="s">
        <v>791</v>
      </c>
      <c r="G235" s="373"/>
      <c r="H235" s="373"/>
      <c r="I235" s="373"/>
      <c r="J235" s="343">
        <f>SUBTOTAL(9,G235:I235)</f>
        <v>0</v>
      </c>
      <c r="K235" s="345">
        <f t="shared" si="17"/>
        <v>0</v>
      </c>
    </row>
    <row r="236" spans="1:11" ht="12.75" x14ac:dyDescent="0.2">
      <c r="A236" s="365">
        <v>2</v>
      </c>
      <c r="B236" s="376">
        <v>3</v>
      </c>
      <c r="C236" s="376">
        <v>7</v>
      </c>
      <c r="D236" s="376">
        <v>2</v>
      </c>
      <c r="E236" s="376" t="s">
        <v>616</v>
      </c>
      <c r="F236" s="367" t="s">
        <v>792</v>
      </c>
      <c r="G236" s="373"/>
      <c r="H236" s="373"/>
      <c r="I236" s="373"/>
      <c r="J236" s="343">
        <f>SUBTOTAL(9,G236:I236)</f>
        <v>0</v>
      </c>
      <c r="K236" s="345">
        <f t="shared" si="17"/>
        <v>0</v>
      </c>
    </row>
    <row r="237" spans="1:11" ht="12.75" x14ac:dyDescent="0.2">
      <c r="A237" s="355">
        <v>2</v>
      </c>
      <c r="B237" s="356">
        <v>3</v>
      </c>
      <c r="C237" s="356">
        <v>9</v>
      </c>
      <c r="D237" s="356"/>
      <c r="E237" s="356"/>
      <c r="F237" s="357" t="s">
        <v>793</v>
      </c>
      <c r="G237" s="358">
        <f>+G238+G241+G244+G246+G248+G250+G252</f>
        <v>6258857</v>
      </c>
      <c r="H237" s="358">
        <f>+H238+H241+H244+H246+H248+H250+H252</f>
        <v>6335519.71</v>
      </c>
      <c r="I237" s="358">
        <f>+I238+I241+I244+I246+I248+I250+I252</f>
        <v>0</v>
      </c>
      <c r="J237" s="358">
        <f>+J238+J241+J244+J246+J248+J250+J252</f>
        <v>12594376.710000001</v>
      </c>
      <c r="K237" s="358">
        <f>+K238+K241+K244+K246+K248+K250+K252</f>
        <v>2.6830538761236737</v>
      </c>
    </row>
    <row r="238" spans="1:11" ht="12.75" x14ac:dyDescent="0.2">
      <c r="A238" s="359">
        <v>2</v>
      </c>
      <c r="B238" s="360">
        <v>3</v>
      </c>
      <c r="C238" s="360">
        <v>9</v>
      </c>
      <c r="D238" s="360">
        <v>1</v>
      </c>
      <c r="E238" s="360"/>
      <c r="F238" s="372" t="s">
        <v>794</v>
      </c>
      <c r="G238" s="374">
        <f>+G239+G240</f>
        <v>827359.5</v>
      </c>
      <c r="H238" s="374">
        <f>+H239+H240</f>
        <v>626440</v>
      </c>
      <c r="I238" s="374">
        <f>+I239+I240</f>
        <v>0</v>
      </c>
      <c r="J238" s="374">
        <f>+J239+J240</f>
        <v>1453799.5</v>
      </c>
      <c r="K238" s="53">
        <f>+K239+K240</f>
        <v>0.30971142704382865</v>
      </c>
    </row>
    <row r="239" spans="1:11" ht="12.75" x14ac:dyDescent="0.2">
      <c r="A239" s="363">
        <v>2</v>
      </c>
      <c r="B239" s="364">
        <v>3</v>
      </c>
      <c r="C239" s="364">
        <v>9</v>
      </c>
      <c r="D239" s="364">
        <v>1</v>
      </c>
      <c r="E239" s="364" t="s">
        <v>610</v>
      </c>
      <c r="F239" s="365" t="s">
        <v>795</v>
      </c>
      <c r="G239" s="366"/>
      <c r="H239" s="366"/>
      <c r="I239" s="366"/>
      <c r="J239" s="343">
        <f>SUBTOTAL(9,G239:I239)</f>
        <v>0</v>
      </c>
      <c r="K239" s="345">
        <f t="shared" si="17"/>
        <v>0</v>
      </c>
    </row>
    <row r="240" spans="1:11" ht="12.75" x14ac:dyDescent="0.2">
      <c r="A240" s="363">
        <v>2</v>
      </c>
      <c r="B240" s="364">
        <v>3</v>
      </c>
      <c r="C240" s="364">
        <v>9</v>
      </c>
      <c r="D240" s="364">
        <v>1</v>
      </c>
      <c r="E240" s="364" t="s">
        <v>612</v>
      </c>
      <c r="F240" s="365" t="s">
        <v>796</v>
      </c>
      <c r="G240" s="366">
        <v>827359.5</v>
      </c>
      <c r="H240" s="366">
        <v>626440</v>
      </c>
      <c r="I240" s="366"/>
      <c r="J240" s="343">
        <f>SUBTOTAL(9,G240:I240)</f>
        <v>1453799.5</v>
      </c>
      <c r="K240" s="345">
        <f t="shared" si="17"/>
        <v>0.30971142704382865</v>
      </c>
    </row>
    <row r="241" spans="1:11" ht="12.75" x14ac:dyDescent="0.2">
      <c r="A241" s="359">
        <v>2</v>
      </c>
      <c r="B241" s="360">
        <v>3</v>
      </c>
      <c r="C241" s="360">
        <v>9</v>
      </c>
      <c r="D241" s="360">
        <v>2</v>
      </c>
      <c r="E241" s="360"/>
      <c r="F241" s="372" t="s">
        <v>797</v>
      </c>
      <c r="G241" s="374">
        <f>+G242+G243</f>
        <v>1064951.5</v>
      </c>
      <c r="H241" s="374">
        <f>+H242+H243</f>
        <v>1064951.5</v>
      </c>
      <c r="I241" s="374">
        <f>+I242+I243</f>
        <v>0</v>
      </c>
      <c r="J241" s="374">
        <f>+J242+J243</f>
        <v>2129903</v>
      </c>
      <c r="K241" s="53">
        <f>+K242+K243</f>
        <v>0.45374571775195388</v>
      </c>
    </row>
    <row r="242" spans="1:11" ht="12.75" x14ac:dyDescent="0.2">
      <c r="A242" s="363">
        <v>2</v>
      </c>
      <c r="B242" s="364">
        <v>3</v>
      </c>
      <c r="C242" s="364">
        <v>9</v>
      </c>
      <c r="D242" s="364">
        <v>2</v>
      </c>
      <c r="E242" s="364" t="s">
        <v>610</v>
      </c>
      <c r="F242" s="365" t="s">
        <v>798</v>
      </c>
      <c r="G242" s="366">
        <v>1064951.5</v>
      </c>
      <c r="H242" s="366">
        <v>1064951.5</v>
      </c>
      <c r="I242" s="366"/>
      <c r="J242" s="343">
        <f>SUBTOTAL(9,G242:I242)</f>
        <v>2129903</v>
      </c>
      <c r="K242" s="345">
        <f t="shared" si="17"/>
        <v>0.45374571775195388</v>
      </c>
    </row>
    <row r="243" spans="1:11" ht="12.75" x14ac:dyDescent="0.2">
      <c r="A243" s="363">
        <v>2</v>
      </c>
      <c r="B243" s="364">
        <v>3</v>
      </c>
      <c r="C243" s="364">
        <v>9</v>
      </c>
      <c r="D243" s="364">
        <v>2</v>
      </c>
      <c r="E243" s="364" t="s">
        <v>612</v>
      </c>
      <c r="F243" s="365" t="s">
        <v>799</v>
      </c>
      <c r="G243" s="366"/>
      <c r="H243" s="366"/>
      <c r="I243" s="366"/>
      <c r="J243" s="343">
        <f>SUBTOTAL(9,G243:I243)</f>
        <v>0</v>
      </c>
      <c r="K243" s="345">
        <f t="shared" si="17"/>
        <v>0</v>
      </c>
    </row>
    <row r="244" spans="1:11" ht="12.75" x14ac:dyDescent="0.2">
      <c r="A244" s="359">
        <v>2</v>
      </c>
      <c r="B244" s="360">
        <v>3</v>
      </c>
      <c r="C244" s="360">
        <v>9</v>
      </c>
      <c r="D244" s="360">
        <v>3</v>
      </c>
      <c r="E244" s="360"/>
      <c r="F244" s="372" t="s">
        <v>800</v>
      </c>
      <c r="G244" s="374">
        <f>+G245</f>
        <v>4366546</v>
      </c>
      <c r="H244" s="374">
        <f>+H245</f>
        <v>4366546</v>
      </c>
      <c r="I244" s="374">
        <f>+I245</f>
        <v>0</v>
      </c>
      <c r="J244" s="374">
        <f>+J245</f>
        <v>8733092</v>
      </c>
      <c r="K244" s="53">
        <f>+K245</f>
        <v>1.8604617664437519</v>
      </c>
    </row>
    <row r="245" spans="1:11" ht="12.75" x14ac:dyDescent="0.2">
      <c r="A245" s="363">
        <v>2</v>
      </c>
      <c r="B245" s="364">
        <v>3</v>
      </c>
      <c r="C245" s="364">
        <v>9</v>
      </c>
      <c r="D245" s="364">
        <v>3</v>
      </c>
      <c r="E245" s="364" t="s">
        <v>610</v>
      </c>
      <c r="F245" s="365" t="s">
        <v>800</v>
      </c>
      <c r="G245" s="366">
        <v>4366546</v>
      </c>
      <c r="H245" s="366">
        <v>4366546</v>
      </c>
      <c r="I245" s="366"/>
      <c r="J245" s="343">
        <f>SUBTOTAL(9,G245:I245)</f>
        <v>8733092</v>
      </c>
      <c r="K245" s="345">
        <f t="shared" si="17"/>
        <v>1.8604617664437519</v>
      </c>
    </row>
    <row r="246" spans="1:11" ht="12.75" x14ac:dyDescent="0.2">
      <c r="A246" s="359">
        <v>2</v>
      </c>
      <c r="B246" s="360">
        <v>3</v>
      </c>
      <c r="C246" s="360">
        <v>9</v>
      </c>
      <c r="D246" s="360">
        <v>5</v>
      </c>
      <c r="E246" s="360"/>
      <c r="F246" s="372" t="s">
        <v>801</v>
      </c>
      <c r="G246" s="374">
        <f>+G247</f>
        <v>0</v>
      </c>
      <c r="H246" s="374">
        <f>+H247</f>
        <v>277582.21000000002</v>
      </c>
      <c r="I246" s="374">
        <f>+I247</f>
        <v>0</v>
      </c>
      <c r="J246" s="374">
        <f>+J247</f>
        <v>277582.21000000002</v>
      </c>
      <c r="K246" s="53">
        <f>+K247</f>
        <v>5.9134964884139607E-2</v>
      </c>
    </row>
    <row r="247" spans="1:11" ht="12.75" x14ac:dyDescent="0.2">
      <c r="A247" s="363">
        <v>2</v>
      </c>
      <c r="B247" s="364">
        <v>3</v>
      </c>
      <c r="C247" s="364">
        <v>9</v>
      </c>
      <c r="D247" s="364">
        <v>5</v>
      </c>
      <c r="E247" s="364" t="s">
        <v>610</v>
      </c>
      <c r="F247" s="365" t="s">
        <v>801</v>
      </c>
      <c r="G247" s="373"/>
      <c r="H247" s="373">
        <v>277582.21000000002</v>
      </c>
      <c r="I247" s="373"/>
      <c r="J247" s="343">
        <f>SUBTOTAL(9,G247:I247)</f>
        <v>277582.21000000002</v>
      </c>
      <c r="K247" s="345">
        <f t="shared" si="17"/>
        <v>5.9134964884139607E-2</v>
      </c>
    </row>
    <row r="248" spans="1:11" ht="12.75" x14ac:dyDescent="0.2">
      <c r="A248" s="359">
        <v>2</v>
      </c>
      <c r="B248" s="360">
        <v>3</v>
      </c>
      <c r="C248" s="360">
        <v>9</v>
      </c>
      <c r="D248" s="360">
        <v>6</v>
      </c>
      <c r="E248" s="360"/>
      <c r="F248" s="372" t="s">
        <v>802</v>
      </c>
      <c r="G248" s="374">
        <f>+G249</f>
        <v>0</v>
      </c>
      <c r="H248" s="374">
        <f>+H249</f>
        <v>0</v>
      </c>
      <c r="I248" s="374">
        <f>+I249</f>
        <v>0</v>
      </c>
      <c r="J248" s="374">
        <f>+J249</f>
        <v>0</v>
      </c>
      <c r="K248" s="53">
        <f>+K249</f>
        <v>0</v>
      </c>
    </row>
    <row r="249" spans="1:11" ht="12.75" x14ac:dyDescent="0.2">
      <c r="A249" s="363">
        <v>2</v>
      </c>
      <c r="B249" s="364">
        <v>3</v>
      </c>
      <c r="C249" s="364">
        <v>9</v>
      </c>
      <c r="D249" s="364">
        <v>6</v>
      </c>
      <c r="E249" s="364" t="s">
        <v>610</v>
      </c>
      <c r="F249" s="365" t="s">
        <v>802</v>
      </c>
      <c r="G249" s="366"/>
      <c r="H249" s="366"/>
      <c r="I249" s="366"/>
      <c r="J249" s="343">
        <f>SUBTOTAL(9,G249:I249)</f>
        <v>0</v>
      </c>
      <c r="K249" s="345">
        <f t="shared" si="17"/>
        <v>0</v>
      </c>
    </row>
    <row r="250" spans="1:11" ht="12.75" x14ac:dyDescent="0.2">
      <c r="A250" s="359">
        <v>2</v>
      </c>
      <c r="B250" s="360">
        <v>3</v>
      </c>
      <c r="C250" s="360">
        <v>9</v>
      </c>
      <c r="D250" s="360">
        <v>8</v>
      </c>
      <c r="E250" s="360"/>
      <c r="F250" s="372" t="s">
        <v>803</v>
      </c>
      <c r="G250" s="374">
        <f>+G251</f>
        <v>0</v>
      </c>
      <c r="H250" s="374">
        <f>+H251</f>
        <v>0</v>
      </c>
      <c r="I250" s="374">
        <f>+I251</f>
        <v>0</v>
      </c>
      <c r="J250" s="374">
        <f>+J251</f>
        <v>0</v>
      </c>
      <c r="K250" s="53">
        <f>+K251</f>
        <v>0</v>
      </c>
    </row>
    <row r="251" spans="1:11" ht="12.75" x14ac:dyDescent="0.2">
      <c r="A251" s="363">
        <v>2</v>
      </c>
      <c r="B251" s="364">
        <v>3</v>
      </c>
      <c r="C251" s="364">
        <v>9</v>
      </c>
      <c r="D251" s="364">
        <v>8</v>
      </c>
      <c r="E251" s="364" t="s">
        <v>610</v>
      </c>
      <c r="F251" s="365" t="s">
        <v>803</v>
      </c>
      <c r="G251" s="373"/>
      <c r="H251" s="373"/>
      <c r="I251" s="373"/>
      <c r="J251" s="343">
        <f>SUBTOTAL(9,G251:I251)</f>
        <v>0</v>
      </c>
      <c r="K251" s="345">
        <f t="shared" si="17"/>
        <v>0</v>
      </c>
    </row>
    <row r="252" spans="1:11" ht="12.75" x14ac:dyDescent="0.2">
      <c r="A252" s="359">
        <v>2</v>
      </c>
      <c r="B252" s="360">
        <v>3</v>
      </c>
      <c r="C252" s="360">
        <v>9</v>
      </c>
      <c r="D252" s="360">
        <v>9</v>
      </c>
      <c r="E252" s="360"/>
      <c r="F252" s="372" t="s">
        <v>804</v>
      </c>
      <c r="G252" s="374">
        <f>+G253</f>
        <v>0</v>
      </c>
      <c r="H252" s="374">
        <f>+H253</f>
        <v>0</v>
      </c>
      <c r="I252" s="374">
        <f>+I253</f>
        <v>0</v>
      </c>
      <c r="J252" s="374">
        <f>+J253</f>
        <v>0</v>
      </c>
      <c r="K252" s="53">
        <f>+K253</f>
        <v>0</v>
      </c>
    </row>
    <row r="253" spans="1:11" ht="12.75" x14ac:dyDescent="0.2">
      <c r="A253" s="363">
        <v>2</v>
      </c>
      <c r="B253" s="364">
        <v>3</v>
      </c>
      <c r="C253" s="364">
        <v>9</v>
      </c>
      <c r="D253" s="364">
        <v>9</v>
      </c>
      <c r="E253" s="364" t="s">
        <v>610</v>
      </c>
      <c r="F253" s="365" t="s">
        <v>804</v>
      </c>
      <c r="G253" s="366"/>
      <c r="H253" s="366"/>
      <c r="I253" s="366"/>
      <c r="J253" s="343">
        <f>SUBTOTAL(9,G253:I253)</f>
        <v>0</v>
      </c>
      <c r="K253" s="345">
        <f t="shared" si="17"/>
        <v>0</v>
      </c>
    </row>
    <row r="254" spans="1:11" ht="12.75" x14ac:dyDescent="0.2">
      <c r="A254" s="351">
        <v>2</v>
      </c>
      <c r="B254" s="352">
        <v>4</v>
      </c>
      <c r="C254" s="352"/>
      <c r="D254" s="352"/>
      <c r="E254" s="352"/>
      <c r="F254" s="353" t="s">
        <v>562</v>
      </c>
      <c r="G254" s="354">
        <f>+G262+G265</f>
        <v>0</v>
      </c>
      <c r="H254" s="354">
        <f>+H262+H265</f>
        <v>0</v>
      </c>
      <c r="I254" s="354">
        <f>+I262+I265</f>
        <v>0</v>
      </c>
      <c r="J254" s="354">
        <f>+J262+J265</f>
        <v>0</v>
      </c>
      <c r="K254" s="354">
        <f>+K262+K265</f>
        <v>0</v>
      </c>
    </row>
    <row r="255" spans="1:11" ht="12.75" x14ac:dyDescent="0.2">
      <c r="A255" s="359">
        <v>2</v>
      </c>
      <c r="B255" s="360">
        <v>4</v>
      </c>
      <c r="C255" s="360">
        <v>1</v>
      </c>
      <c r="D255" s="360">
        <v>2</v>
      </c>
      <c r="E255" s="360"/>
      <c r="F255" s="372" t="s">
        <v>806</v>
      </c>
      <c r="G255" s="374">
        <f>+G256+G257</f>
        <v>0</v>
      </c>
      <c r="H255" s="374">
        <f>+H256+H257</f>
        <v>0</v>
      </c>
      <c r="I255" s="374">
        <f>+I256+I257</f>
        <v>0</v>
      </c>
      <c r="J255" s="374">
        <f>+J256+J257</f>
        <v>0</v>
      </c>
      <c r="K255" s="53">
        <f>+K256+K257</f>
        <v>0</v>
      </c>
    </row>
    <row r="256" spans="1:11" ht="12.75" x14ac:dyDescent="0.2">
      <c r="A256" s="363">
        <v>2</v>
      </c>
      <c r="B256" s="364">
        <v>4</v>
      </c>
      <c r="C256" s="364">
        <v>1</v>
      </c>
      <c r="D256" s="364">
        <v>2</v>
      </c>
      <c r="E256" s="364" t="s">
        <v>610</v>
      </c>
      <c r="F256" s="367" t="s">
        <v>807</v>
      </c>
      <c r="G256" s="366"/>
      <c r="H256" s="366"/>
      <c r="I256" s="366"/>
      <c r="J256" s="343">
        <f>SUBTOTAL(9,G256:I256)</f>
        <v>0</v>
      </c>
      <c r="K256" s="345">
        <f t="shared" si="17"/>
        <v>0</v>
      </c>
    </row>
    <row r="257" spans="1:11" ht="12.75" x14ac:dyDescent="0.2">
      <c r="A257" s="363">
        <v>2</v>
      </c>
      <c r="B257" s="364">
        <v>4</v>
      </c>
      <c r="C257" s="364">
        <v>1</v>
      </c>
      <c r="D257" s="364">
        <v>2</v>
      </c>
      <c r="E257" s="364" t="s">
        <v>612</v>
      </c>
      <c r="F257" s="367" t="s">
        <v>808</v>
      </c>
      <c r="G257" s="366"/>
      <c r="H257" s="366"/>
      <c r="I257" s="366"/>
      <c r="J257" s="343">
        <f>SUBTOTAL(9,G257:I257)</f>
        <v>0</v>
      </c>
      <c r="K257" s="345">
        <f>IFERROR(J257/$J$18*100,"0.00")</f>
        <v>0</v>
      </c>
    </row>
    <row r="258" spans="1:11" ht="12.75" x14ac:dyDescent="0.2">
      <c r="A258" s="359">
        <v>2</v>
      </c>
      <c r="B258" s="360">
        <v>4</v>
      </c>
      <c r="C258" s="360">
        <v>1</v>
      </c>
      <c r="D258" s="360">
        <v>5</v>
      </c>
      <c r="E258" s="360"/>
      <c r="F258" s="361" t="s">
        <v>809</v>
      </c>
      <c r="G258" s="362">
        <f>+G259</f>
        <v>0</v>
      </c>
      <c r="H258" s="362">
        <f>+H259</f>
        <v>0</v>
      </c>
      <c r="I258" s="362">
        <f>+I259</f>
        <v>0</v>
      </c>
      <c r="J258" s="362">
        <f>+J259</f>
        <v>0</v>
      </c>
      <c r="K258" s="53">
        <f>+K259</f>
        <v>0</v>
      </c>
    </row>
    <row r="259" spans="1:11" ht="12.75" x14ac:dyDescent="0.2">
      <c r="A259" s="363">
        <v>2</v>
      </c>
      <c r="B259" s="364">
        <v>4</v>
      </c>
      <c r="C259" s="364">
        <v>1</v>
      </c>
      <c r="D259" s="364">
        <v>5</v>
      </c>
      <c r="E259" s="364" t="s">
        <v>610</v>
      </c>
      <c r="F259" s="367" t="s">
        <v>809</v>
      </c>
      <c r="G259" s="373"/>
      <c r="H259" s="373"/>
      <c r="I259" s="373"/>
      <c r="J259" s="343">
        <f>SUBTOTAL(9,G259:I259)</f>
        <v>0</v>
      </c>
      <c r="K259" s="345">
        <f>IFERROR(J259/$J$18*100,"0.00")</f>
        <v>0</v>
      </c>
    </row>
    <row r="260" spans="1:11" ht="12.75" x14ac:dyDescent="0.2">
      <c r="A260" s="359">
        <v>2</v>
      </c>
      <c r="B260" s="360">
        <v>4</v>
      </c>
      <c r="C260" s="360">
        <v>1</v>
      </c>
      <c r="D260" s="360">
        <v>6</v>
      </c>
      <c r="E260" s="364"/>
      <c r="F260" s="361" t="s">
        <v>810</v>
      </c>
      <c r="G260" s="374">
        <f>+G261</f>
        <v>0</v>
      </c>
      <c r="H260" s="374">
        <f>+H261</f>
        <v>0</v>
      </c>
      <c r="I260" s="374">
        <f>+I261</f>
        <v>0</v>
      </c>
      <c r="J260" s="374">
        <f>+J261</f>
        <v>0</v>
      </c>
      <c r="K260" s="53">
        <f>+K261</f>
        <v>0</v>
      </c>
    </row>
    <row r="261" spans="1:11" ht="12.75" x14ac:dyDescent="0.2">
      <c r="A261" s="363">
        <v>2</v>
      </c>
      <c r="B261" s="364">
        <v>4</v>
      </c>
      <c r="C261" s="364">
        <v>1</v>
      </c>
      <c r="D261" s="364">
        <v>6</v>
      </c>
      <c r="E261" s="364" t="s">
        <v>610</v>
      </c>
      <c r="F261" s="367" t="s">
        <v>811</v>
      </c>
      <c r="G261" s="373"/>
      <c r="H261" s="373"/>
      <c r="I261" s="373"/>
      <c r="J261" s="343">
        <f>SUBTOTAL(9,G261:I261)</f>
        <v>0</v>
      </c>
      <c r="K261" s="345">
        <f>IFERROR(J261/$J$18*100,"0.00")</f>
        <v>0</v>
      </c>
    </row>
    <row r="262" spans="1:11" ht="12.75" x14ac:dyDescent="0.2">
      <c r="A262" s="355">
        <v>2</v>
      </c>
      <c r="B262" s="356">
        <v>4</v>
      </c>
      <c r="C262" s="356">
        <v>4</v>
      </c>
      <c r="D262" s="356"/>
      <c r="E262" s="356"/>
      <c r="F262" s="357" t="s">
        <v>812</v>
      </c>
      <c r="G262" s="358">
        <f>+G263</f>
        <v>0</v>
      </c>
      <c r="H262" s="358">
        <f t="shared" ref="H262:K263" si="20">+H263</f>
        <v>0</v>
      </c>
      <c r="I262" s="358">
        <f t="shared" si="20"/>
        <v>0</v>
      </c>
      <c r="J262" s="358">
        <f t="shared" si="20"/>
        <v>0</v>
      </c>
      <c r="K262" s="379">
        <f t="shared" si="20"/>
        <v>0</v>
      </c>
    </row>
    <row r="263" spans="1:11" ht="12.75" x14ac:dyDescent="0.2">
      <c r="A263" s="377">
        <v>2</v>
      </c>
      <c r="B263" s="360">
        <v>4</v>
      </c>
      <c r="C263" s="360">
        <v>4</v>
      </c>
      <c r="D263" s="360">
        <v>1</v>
      </c>
      <c r="E263" s="360"/>
      <c r="F263" s="361" t="s">
        <v>813</v>
      </c>
      <c r="G263" s="374">
        <f>+G264</f>
        <v>0</v>
      </c>
      <c r="H263" s="374">
        <f t="shared" si="20"/>
        <v>0</v>
      </c>
      <c r="I263" s="374">
        <f t="shared" si="20"/>
        <v>0</v>
      </c>
      <c r="J263" s="374">
        <f t="shared" si="20"/>
        <v>0</v>
      </c>
      <c r="K263" s="53">
        <f t="shared" si="20"/>
        <v>0</v>
      </c>
    </row>
    <row r="264" spans="1:11" ht="22.5" x14ac:dyDescent="0.2">
      <c r="A264" s="378">
        <v>2</v>
      </c>
      <c r="B264" s="364">
        <v>4</v>
      </c>
      <c r="C264" s="364">
        <v>4</v>
      </c>
      <c r="D264" s="364">
        <v>1</v>
      </c>
      <c r="E264" s="364" t="s">
        <v>619</v>
      </c>
      <c r="F264" s="367" t="s">
        <v>814</v>
      </c>
      <c r="G264" s="366"/>
      <c r="H264" s="27"/>
      <c r="I264" s="27"/>
      <c r="J264" s="343">
        <f>SUBTOTAL(9,G264:I264)</f>
        <v>0</v>
      </c>
      <c r="K264" s="345">
        <f>IFERROR(J264/$J$18*100,"0.00")</f>
        <v>0</v>
      </c>
    </row>
    <row r="265" spans="1:11" ht="12.75" x14ac:dyDescent="0.2">
      <c r="A265" s="355">
        <v>2</v>
      </c>
      <c r="B265" s="356">
        <v>4</v>
      </c>
      <c r="C265" s="356">
        <v>9</v>
      </c>
      <c r="D265" s="356"/>
      <c r="E265" s="356"/>
      <c r="F265" s="357" t="s">
        <v>815</v>
      </c>
      <c r="G265" s="358">
        <f>+G266+G268</f>
        <v>0</v>
      </c>
      <c r="H265" s="358">
        <f>+H266+H268</f>
        <v>0</v>
      </c>
      <c r="I265" s="358">
        <f>+I266+I268</f>
        <v>0</v>
      </c>
      <c r="J265" s="358">
        <f>+J266+J268</f>
        <v>0</v>
      </c>
      <c r="K265" s="358">
        <f>+K266+K268</f>
        <v>0</v>
      </c>
    </row>
    <row r="266" spans="1:11" ht="12.75" x14ac:dyDescent="0.2">
      <c r="A266" s="359">
        <v>2</v>
      </c>
      <c r="B266" s="360">
        <v>4</v>
      </c>
      <c r="C266" s="360">
        <v>9</v>
      </c>
      <c r="D266" s="360">
        <v>1</v>
      </c>
      <c r="E266" s="360"/>
      <c r="F266" s="361" t="s">
        <v>815</v>
      </c>
      <c r="G266" s="374">
        <f>+G267</f>
        <v>0</v>
      </c>
      <c r="H266" s="374">
        <f>+H267</f>
        <v>0</v>
      </c>
      <c r="I266" s="374">
        <f>+I267</f>
        <v>0</v>
      </c>
      <c r="J266" s="374">
        <f>+J267</f>
        <v>0</v>
      </c>
      <c r="K266" s="53">
        <f>+K267</f>
        <v>0</v>
      </c>
    </row>
    <row r="267" spans="1:11" ht="12.75" x14ac:dyDescent="0.2">
      <c r="A267" s="363">
        <v>2</v>
      </c>
      <c r="B267" s="364">
        <v>4</v>
      </c>
      <c r="C267" s="364">
        <v>9</v>
      </c>
      <c r="D267" s="364">
        <v>1</v>
      </c>
      <c r="E267" s="364" t="s">
        <v>610</v>
      </c>
      <c r="F267" s="367" t="s">
        <v>815</v>
      </c>
      <c r="G267" s="373"/>
      <c r="H267" s="373"/>
      <c r="I267" s="373"/>
      <c r="J267" s="343">
        <f>SUBTOTAL(9,G267:I267)</f>
        <v>0</v>
      </c>
      <c r="K267" s="345">
        <f>IFERROR(J267/$J$18*100,"0.00")</f>
        <v>0</v>
      </c>
    </row>
    <row r="268" spans="1:11" ht="12.75" x14ac:dyDescent="0.2">
      <c r="A268" s="359">
        <v>2</v>
      </c>
      <c r="B268" s="360">
        <v>4</v>
      </c>
      <c r="C268" s="360">
        <v>9</v>
      </c>
      <c r="D268" s="360">
        <v>4</v>
      </c>
      <c r="E268" s="360"/>
      <c r="F268" s="361" t="s">
        <v>816</v>
      </c>
      <c r="G268" s="374">
        <f>+G269</f>
        <v>0</v>
      </c>
      <c r="H268" s="374">
        <f>+H269</f>
        <v>0</v>
      </c>
      <c r="I268" s="374">
        <f>+I269</f>
        <v>0</v>
      </c>
      <c r="J268" s="374">
        <f>+J269</f>
        <v>0</v>
      </c>
      <c r="K268" s="53">
        <f>+K269</f>
        <v>0</v>
      </c>
    </row>
    <row r="269" spans="1:11" ht="12.75" x14ac:dyDescent="0.2">
      <c r="A269" s="363">
        <v>2</v>
      </c>
      <c r="B269" s="364">
        <v>4</v>
      </c>
      <c r="C269" s="364">
        <v>9</v>
      </c>
      <c r="D269" s="364">
        <v>4</v>
      </c>
      <c r="E269" s="364" t="s">
        <v>610</v>
      </c>
      <c r="F269" s="367" t="s">
        <v>816</v>
      </c>
      <c r="G269" s="373"/>
      <c r="H269" s="373"/>
      <c r="I269" s="373"/>
      <c r="J269" s="380">
        <f>SUBTOTAL(9,G269:I269)</f>
        <v>0</v>
      </c>
      <c r="K269" s="345">
        <f>IFERROR(J269/$J$18*100,"0.00")</f>
        <v>0</v>
      </c>
    </row>
    <row r="270" spans="1:11" ht="12.75" x14ac:dyDescent="0.2">
      <c r="A270" s="351">
        <v>2</v>
      </c>
      <c r="B270" s="352">
        <v>6</v>
      </c>
      <c r="C270" s="352"/>
      <c r="D270" s="352"/>
      <c r="E270" s="352"/>
      <c r="F270" s="353" t="s">
        <v>817</v>
      </c>
      <c r="G270" s="354">
        <f>+G271+G282+G289+G294+G301+G310+G313</f>
        <v>0</v>
      </c>
      <c r="H270" s="354">
        <f>+H271+H282+H289+H294+H301+H310+H313</f>
        <v>7684815</v>
      </c>
      <c r="I270" s="354">
        <f>+I271+I282+I289+I294+I301+I310+I313</f>
        <v>0</v>
      </c>
      <c r="J270" s="354">
        <f>+J271+J282+J289+J294+J301+J310+J313</f>
        <v>7584815</v>
      </c>
      <c r="K270" s="354">
        <f>+K271+K282+K289+K294+K301+K310+K313</f>
        <v>1.6158375879985081</v>
      </c>
    </row>
    <row r="271" spans="1:11" ht="12.75" x14ac:dyDescent="0.2">
      <c r="A271" s="355">
        <v>2</v>
      </c>
      <c r="B271" s="356">
        <v>6</v>
      </c>
      <c r="C271" s="356">
        <v>1</v>
      </c>
      <c r="D271" s="356"/>
      <c r="E271" s="356"/>
      <c r="F271" s="357" t="s">
        <v>818</v>
      </c>
      <c r="G271" s="358">
        <f>+G272+G274+G276+G278+G280</f>
        <v>0</v>
      </c>
      <c r="H271" s="358">
        <f>+H272+H274+H276+H278+H280</f>
        <v>1579500</v>
      </c>
      <c r="I271" s="358">
        <f>+I272+I274+I276+I278+I280</f>
        <v>0</v>
      </c>
      <c r="J271" s="358">
        <f>+J272+J274+J276+J278+J280</f>
        <v>1479500</v>
      </c>
      <c r="K271" s="358">
        <f>+K272+K274+K276+K278+K280</f>
        <v>0.31518655516895178</v>
      </c>
    </row>
    <row r="272" spans="1:11" ht="12.75" x14ac:dyDescent="0.2">
      <c r="A272" s="359">
        <v>2</v>
      </c>
      <c r="B272" s="360">
        <v>6</v>
      </c>
      <c r="C272" s="360">
        <v>1</v>
      </c>
      <c r="D272" s="360">
        <v>1</v>
      </c>
      <c r="E272" s="360"/>
      <c r="F272" s="372" t="s">
        <v>819</v>
      </c>
      <c r="G272" s="374">
        <f>+G273</f>
        <v>0</v>
      </c>
      <c r="H272" s="374">
        <v>450000</v>
      </c>
      <c r="I272" s="374">
        <f>+I273</f>
        <v>0</v>
      </c>
      <c r="J272" s="374">
        <f>+J273</f>
        <v>350000</v>
      </c>
      <c r="K272" s="53">
        <f>+K273</f>
        <v>7.4562551070721947E-2</v>
      </c>
    </row>
    <row r="273" spans="1:11" ht="12.75" x14ac:dyDescent="0.2">
      <c r="A273" s="363">
        <v>2</v>
      </c>
      <c r="B273" s="364">
        <v>6</v>
      </c>
      <c r="C273" s="364">
        <v>1</v>
      </c>
      <c r="D273" s="364">
        <v>1</v>
      </c>
      <c r="E273" s="364" t="s">
        <v>610</v>
      </c>
      <c r="F273" s="365" t="s">
        <v>819</v>
      </c>
      <c r="G273" s="373"/>
      <c r="H273" s="27">
        <v>350000</v>
      </c>
      <c r="I273" s="27"/>
      <c r="J273" s="343">
        <f>SUBTOTAL(9,G273:I273)</f>
        <v>350000</v>
      </c>
      <c r="K273" s="345">
        <f>IFERROR(J273/$J$18*100,"0.00")</f>
        <v>7.4562551070721947E-2</v>
      </c>
    </row>
    <row r="274" spans="1:11" ht="12.75" x14ac:dyDescent="0.2">
      <c r="A274" s="359">
        <v>2</v>
      </c>
      <c r="B274" s="360">
        <v>6</v>
      </c>
      <c r="C274" s="360">
        <v>1</v>
      </c>
      <c r="D274" s="360">
        <v>2</v>
      </c>
      <c r="E274" s="360"/>
      <c r="F274" s="372" t="s">
        <v>820</v>
      </c>
      <c r="G274" s="374">
        <f>+G275</f>
        <v>0</v>
      </c>
      <c r="H274" s="374">
        <f>+H275</f>
        <v>483500</v>
      </c>
      <c r="I274" s="374">
        <f>+I275</f>
        <v>0</v>
      </c>
      <c r="J274" s="374">
        <f>+J275</f>
        <v>483500</v>
      </c>
      <c r="K274" s="53">
        <f>+K275</f>
        <v>0.10300283840769731</v>
      </c>
    </row>
    <row r="275" spans="1:11" ht="12.75" x14ac:dyDescent="0.2">
      <c r="A275" s="363">
        <v>2</v>
      </c>
      <c r="B275" s="364">
        <v>6</v>
      </c>
      <c r="C275" s="364">
        <v>1</v>
      </c>
      <c r="D275" s="364">
        <v>2</v>
      </c>
      <c r="E275" s="364" t="s">
        <v>610</v>
      </c>
      <c r="F275" s="367" t="s">
        <v>820</v>
      </c>
      <c r="G275" s="373"/>
      <c r="H275" s="28">
        <v>483500</v>
      </c>
      <c r="I275" s="28"/>
      <c r="J275" s="343">
        <f>SUBTOTAL(9,G275:I275)</f>
        <v>483500</v>
      </c>
      <c r="K275" s="345">
        <f>IFERROR(J275/$J$18*100,"0.00")</f>
        <v>0.10300283840769731</v>
      </c>
    </row>
    <row r="276" spans="1:11" ht="12.75" x14ac:dyDescent="0.2">
      <c r="A276" s="359">
        <v>2</v>
      </c>
      <c r="B276" s="360">
        <v>6</v>
      </c>
      <c r="C276" s="360">
        <v>1</v>
      </c>
      <c r="D276" s="360">
        <v>3</v>
      </c>
      <c r="E276" s="360"/>
      <c r="F276" s="361" t="s">
        <v>821</v>
      </c>
      <c r="G276" s="374">
        <f>+G277</f>
        <v>0</v>
      </c>
      <c r="H276" s="374">
        <f>+H277</f>
        <v>646000</v>
      </c>
      <c r="I276" s="374">
        <f>+I277</f>
        <v>0</v>
      </c>
      <c r="J276" s="374">
        <f>+J277</f>
        <v>646000</v>
      </c>
      <c r="K276" s="53">
        <f>+K277</f>
        <v>0.13762116569053251</v>
      </c>
    </row>
    <row r="277" spans="1:11" ht="12.75" x14ac:dyDescent="0.2">
      <c r="A277" s="363">
        <v>2</v>
      </c>
      <c r="B277" s="364">
        <v>6</v>
      </c>
      <c r="C277" s="364">
        <v>1</v>
      </c>
      <c r="D277" s="364">
        <v>3</v>
      </c>
      <c r="E277" s="364" t="s">
        <v>610</v>
      </c>
      <c r="F277" s="367" t="s">
        <v>821</v>
      </c>
      <c r="G277" s="373"/>
      <c r="H277" s="27">
        <v>646000</v>
      </c>
      <c r="I277" s="27"/>
      <c r="J277" s="343">
        <f>SUBTOTAL(9,G277:I277)</f>
        <v>646000</v>
      </c>
      <c r="K277" s="345">
        <f>IFERROR(J277/$J$18*100,"0.00")</f>
        <v>0.13762116569053251</v>
      </c>
    </row>
    <row r="278" spans="1:11" ht="12.75" x14ac:dyDescent="0.2">
      <c r="A278" s="359">
        <v>2</v>
      </c>
      <c r="B278" s="360">
        <v>6</v>
      </c>
      <c r="C278" s="360">
        <v>1</v>
      </c>
      <c r="D278" s="360">
        <v>4</v>
      </c>
      <c r="E278" s="360"/>
      <c r="F278" s="372" t="s">
        <v>822</v>
      </c>
      <c r="G278" s="374">
        <f>+G279</f>
        <v>0</v>
      </c>
      <c r="H278" s="374">
        <f>+H279</f>
        <v>0</v>
      </c>
      <c r="I278" s="374">
        <f>+I279</f>
        <v>0</v>
      </c>
      <c r="J278" s="374">
        <f>+J279</f>
        <v>0</v>
      </c>
      <c r="K278" s="53">
        <f>+K279</f>
        <v>0</v>
      </c>
    </row>
    <row r="279" spans="1:11" ht="12.75" x14ac:dyDescent="0.2">
      <c r="A279" s="363">
        <v>2</v>
      </c>
      <c r="B279" s="364">
        <v>6</v>
      </c>
      <c r="C279" s="364">
        <v>1</v>
      </c>
      <c r="D279" s="364">
        <v>4</v>
      </c>
      <c r="E279" s="364" t="s">
        <v>610</v>
      </c>
      <c r="F279" s="367" t="s">
        <v>822</v>
      </c>
      <c r="G279" s="373"/>
      <c r="H279" s="28"/>
      <c r="I279" s="28"/>
      <c r="J279" s="343">
        <f>SUBTOTAL(9,G279:I279)</f>
        <v>0</v>
      </c>
      <c r="K279" s="345">
        <f>IFERROR(J279/$J$18*100,"0.00")</f>
        <v>0</v>
      </c>
    </row>
    <row r="280" spans="1:11" ht="12.75" x14ac:dyDescent="0.2">
      <c r="A280" s="359">
        <v>2</v>
      </c>
      <c r="B280" s="360">
        <v>6</v>
      </c>
      <c r="C280" s="360">
        <v>1</v>
      </c>
      <c r="D280" s="360">
        <v>9</v>
      </c>
      <c r="E280" s="360"/>
      <c r="F280" s="372" t="s">
        <v>823</v>
      </c>
      <c r="G280" s="374">
        <f>+G281</f>
        <v>0</v>
      </c>
      <c r="H280" s="374">
        <f>+H281</f>
        <v>0</v>
      </c>
      <c r="I280" s="374">
        <f>+I281</f>
        <v>0</v>
      </c>
      <c r="J280" s="374">
        <f>+J281</f>
        <v>0</v>
      </c>
      <c r="K280" s="53">
        <f>+K281</f>
        <v>0</v>
      </c>
    </row>
    <row r="281" spans="1:11" ht="12.75" x14ac:dyDescent="0.2">
      <c r="A281" s="363">
        <v>2</v>
      </c>
      <c r="B281" s="364">
        <v>6</v>
      </c>
      <c r="C281" s="364">
        <v>1</v>
      </c>
      <c r="D281" s="364">
        <v>9</v>
      </c>
      <c r="E281" s="364" t="s">
        <v>610</v>
      </c>
      <c r="F281" s="367" t="s">
        <v>823</v>
      </c>
      <c r="G281" s="373"/>
      <c r="H281" s="27"/>
      <c r="I281" s="27"/>
      <c r="J281" s="343">
        <f t="shared" ref="J281:J286" si="21">SUBTOTAL(9,G281:I281)</f>
        <v>0</v>
      </c>
      <c r="K281" s="345">
        <f>IFERROR(J281/$J$18*100,"0.00")</f>
        <v>0</v>
      </c>
    </row>
    <row r="282" spans="1:11" ht="12.75" x14ac:dyDescent="0.2">
      <c r="A282" s="355">
        <v>2</v>
      </c>
      <c r="B282" s="356">
        <v>6</v>
      </c>
      <c r="C282" s="356">
        <v>2</v>
      </c>
      <c r="D282" s="356"/>
      <c r="E282" s="356"/>
      <c r="F282" s="357" t="s">
        <v>824</v>
      </c>
      <c r="G282" s="358">
        <f>+G283+G285+G287</f>
        <v>0</v>
      </c>
      <c r="H282" s="358">
        <f>+H283+H285+H287</f>
        <v>0</v>
      </c>
      <c r="I282" s="358">
        <f>+I283+I285+I287</f>
        <v>0</v>
      </c>
      <c r="J282" s="358">
        <f>+J283+J285+J287</f>
        <v>0</v>
      </c>
      <c r="K282" s="358">
        <f>+K283+K285+K287</f>
        <v>0</v>
      </c>
    </row>
    <row r="283" spans="1:11" ht="12.75" x14ac:dyDescent="0.2">
      <c r="A283" s="359">
        <v>2</v>
      </c>
      <c r="B283" s="360">
        <v>6</v>
      </c>
      <c r="C283" s="360">
        <v>2</v>
      </c>
      <c r="D283" s="360">
        <v>1</v>
      </c>
      <c r="E283" s="360"/>
      <c r="F283" s="372" t="s">
        <v>825</v>
      </c>
      <c r="G283" s="374">
        <f>+G284</f>
        <v>0</v>
      </c>
      <c r="H283" s="374">
        <f>+H284</f>
        <v>0</v>
      </c>
      <c r="I283" s="374">
        <f>+I284</f>
        <v>0</v>
      </c>
      <c r="J283" s="374">
        <f>+J284</f>
        <v>0</v>
      </c>
      <c r="K283" s="53">
        <f>+K284</f>
        <v>0</v>
      </c>
    </row>
    <row r="284" spans="1:11" ht="12.75" x14ac:dyDescent="0.2">
      <c r="A284" s="363">
        <v>2</v>
      </c>
      <c r="B284" s="364">
        <v>6</v>
      </c>
      <c r="C284" s="364">
        <v>2</v>
      </c>
      <c r="D284" s="364">
        <v>1</v>
      </c>
      <c r="E284" s="364" t="s">
        <v>610</v>
      </c>
      <c r="F284" s="367" t="s">
        <v>825</v>
      </c>
      <c r="G284" s="373"/>
      <c r="H284" s="27"/>
      <c r="I284" s="27"/>
      <c r="J284" s="343">
        <f t="shared" si="21"/>
        <v>0</v>
      </c>
      <c r="K284" s="345">
        <f>IFERROR(J284/$J$18*100,"0.00")</f>
        <v>0</v>
      </c>
    </row>
    <row r="285" spans="1:11" ht="12.75" x14ac:dyDescent="0.2">
      <c r="A285" s="359">
        <v>2</v>
      </c>
      <c r="B285" s="360">
        <v>6</v>
      </c>
      <c r="C285" s="360">
        <v>2</v>
      </c>
      <c r="D285" s="360">
        <v>3</v>
      </c>
      <c r="E285" s="360"/>
      <c r="F285" s="372" t="s">
        <v>826</v>
      </c>
      <c r="G285" s="374">
        <f>+G286</f>
        <v>0</v>
      </c>
      <c r="H285" s="374">
        <f>+H286</f>
        <v>0</v>
      </c>
      <c r="I285" s="374">
        <f>+I286</f>
        <v>0</v>
      </c>
      <c r="J285" s="374">
        <f>+J286</f>
        <v>0</v>
      </c>
      <c r="K285" s="53">
        <f>+K286</f>
        <v>0</v>
      </c>
    </row>
    <row r="286" spans="1:11" ht="12.75" x14ac:dyDescent="0.2">
      <c r="A286" s="363">
        <v>2</v>
      </c>
      <c r="B286" s="364">
        <v>6</v>
      </c>
      <c r="C286" s="364">
        <v>2</v>
      </c>
      <c r="D286" s="364">
        <v>3</v>
      </c>
      <c r="E286" s="364" t="s">
        <v>610</v>
      </c>
      <c r="F286" s="367" t="s">
        <v>826</v>
      </c>
      <c r="G286" s="373"/>
      <c r="H286" s="28"/>
      <c r="I286" s="28"/>
      <c r="J286" s="343">
        <f t="shared" si="21"/>
        <v>0</v>
      </c>
      <c r="K286" s="345">
        <f>IFERROR(J286/$J$18*100,"0.00")</f>
        <v>0</v>
      </c>
    </row>
    <row r="287" spans="1:11" ht="12.75" x14ac:dyDescent="0.2">
      <c r="A287" s="359">
        <v>2</v>
      </c>
      <c r="B287" s="360">
        <v>6</v>
      </c>
      <c r="C287" s="360">
        <v>2</v>
      </c>
      <c r="D287" s="360">
        <v>4</v>
      </c>
      <c r="E287" s="360"/>
      <c r="F287" s="372" t="s">
        <v>827</v>
      </c>
      <c r="G287" s="374">
        <f>+G288</f>
        <v>0</v>
      </c>
      <c r="H287" s="374">
        <f t="shared" ref="H287:J287" si="22">+H288</f>
        <v>0</v>
      </c>
      <c r="I287" s="374">
        <f t="shared" si="22"/>
        <v>0</v>
      </c>
      <c r="J287" s="374">
        <f t="shared" si="22"/>
        <v>0</v>
      </c>
      <c r="K287" s="53">
        <f>IFERROR(J287/$J$18*100,"0.00")</f>
        <v>0</v>
      </c>
    </row>
    <row r="288" spans="1:11" ht="12.75" x14ac:dyDescent="0.2">
      <c r="A288" s="363">
        <v>2</v>
      </c>
      <c r="B288" s="364">
        <v>6</v>
      </c>
      <c r="C288" s="364">
        <v>2</v>
      </c>
      <c r="D288" s="364">
        <v>4</v>
      </c>
      <c r="E288" s="364" t="s">
        <v>610</v>
      </c>
      <c r="F288" s="365" t="s">
        <v>827</v>
      </c>
      <c r="G288" s="373"/>
      <c r="H288" s="408"/>
      <c r="I288" s="27"/>
      <c r="J288" s="343">
        <f t="shared" ref="J288:J293" si="23">SUBTOTAL(9,G288:I288)</f>
        <v>0</v>
      </c>
      <c r="K288" s="345">
        <f>IFERROR(J288/$J$18*100,"0.00")</f>
        <v>0</v>
      </c>
    </row>
    <row r="289" spans="1:11" ht="12.75" x14ac:dyDescent="0.2">
      <c r="A289" s="355">
        <v>2</v>
      </c>
      <c r="B289" s="356">
        <v>6</v>
      </c>
      <c r="C289" s="356">
        <v>3</v>
      </c>
      <c r="D289" s="356"/>
      <c r="E289" s="356"/>
      <c r="F289" s="357" t="s">
        <v>828</v>
      </c>
      <c r="G289" s="358">
        <f>+G290+G292</f>
        <v>0</v>
      </c>
      <c r="H289" s="358">
        <f>+H290+H292</f>
        <v>3471515</v>
      </c>
      <c r="I289" s="358">
        <f>+I290+I292</f>
        <v>0</v>
      </c>
      <c r="J289" s="358">
        <f>+J290+J292</f>
        <v>3471515</v>
      </c>
      <c r="K289" s="358">
        <f>+K290+K292</f>
        <v>0.73955718422936367</v>
      </c>
    </row>
    <row r="290" spans="1:11" ht="12.75" x14ac:dyDescent="0.2">
      <c r="A290" s="359">
        <v>2</v>
      </c>
      <c r="B290" s="360">
        <v>6</v>
      </c>
      <c r="C290" s="360">
        <v>3</v>
      </c>
      <c r="D290" s="360">
        <v>1</v>
      </c>
      <c r="E290" s="360"/>
      <c r="F290" s="361" t="s">
        <v>829</v>
      </c>
      <c r="G290" s="374">
        <f>+G291</f>
        <v>0</v>
      </c>
      <c r="H290" s="374">
        <f>+H291</f>
        <v>3471515</v>
      </c>
      <c r="I290" s="374">
        <f>+I291</f>
        <v>0</v>
      </c>
      <c r="J290" s="374">
        <f>+J291</f>
        <v>3471515</v>
      </c>
      <c r="K290" s="53">
        <f>+K291</f>
        <v>0.73955718422936367</v>
      </c>
    </row>
    <row r="291" spans="1:11" ht="12.75" x14ac:dyDescent="0.2">
      <c r="A291" s="363">
        <v>2</v>
      </c>
      <c r="B291" s="364">
        <v>6</v>
      </c>
      <c r="C291" s="364">
        <v>3</v>
      </c>
      <c r="D291" s="364">
        <v>1</v>
      </c>
      <c r="E291" s="364" t="s">
        <v>610</v>
      </c>
      <c r="F291" s="365" t="s">
        <v>829</v>
      </c>
      <c r="G291" s="373"/>
      <c r="H291" s="27">
        <v>3471515</v>
      </c>
      <c r="I291" s="27"/>
      <c r="J291" s="343">
        <f t="shared" si="23"/>
        <v>3471515</v>
      </c>
      <c r="K291" s="345">
        <f>IFERROR(J291/$J$18*100,"0.00")</f>
        <v>0.73955718422936367</v>
      </c>
    </row>
    <row r="292" spans="1:11" ht="12.75" x14ac:dyDescent="0.2">
      <c r="A292" s="359">
        <v>2</v>
      </c>
      <c r="B292" s="360">
        <v>6</v>
      </c>
      <c r="C292" s="360">
        <v>3</v>
      </c>
      <c r="D292" s="360">
        <v>2</v>
      </c>
      <c r="E292" s="360"/>
      <c r="F292" s="372" t="s">
        <v>830</v>
      </c>
      <c r="G292" s="374">
        <f>+G293</f>
        <v>0</v>
      </c>
      <c r="H292" s="374">
        <f>+H293</f>
        <v>0</v>
      </c>
      <c r="I292" s="374">
        <f>+I293</f>
        <v>0</v>
      </c>
      <c r="J292" s="374">
        <f>+J293</f>
        <v>0</v>
      </c>
      <c r="K292" s="53">
        <f>+K293</f>
        <v>0</v>
      </c>
    </row>
    <row r="293" spans="1:11" ht="12.75" x14ac:dyDescent="0.2">
      <c r="A293" s="363">
        <v>2</v>
      </c>
      <c r="B293" s="364">
        <v>6</v>
      </c>
      <c r="C293" s="364">
        <v>3</v>
      </c>
      <c r="D293" s="364">
        <v>2</v>
      </c>
      <c r="E293" s="364" t="s">
        <v>610</v>
      </c>
      <c r="F293" s="367" t="s">
        <v>830</v>
      </c>
      <c r="G293" s="373"/>
      <c r="H293" s="27"/>
      <c r="I293" s="27"/>
      <c r="J293" s="343">
        <f t="shared" si="23"/>
        <v>0</v>
      </c>
      <c r="K293" s="345">
        <f>IFERROR(J293/$J$18*100,"0.00")</f>
        <v>0</v>
      </c>
    </row>
    <row r="294" spans="1:11" ht="12.75" x14ac:dyDescent="0.2">
      <c r="A294" s="355">
        <v>2</v>
      </c>
      <c r="B294" s="356">
        <v>6</v>
      </c>
      <c r="C294" s="356">
        <v>4</v>
      </c>
      <c r="D294" s="356"/>
      <c r="E294" s="356"/>
      <c r="F294" s="357" t="s">
        <v>831</v>
      </c>
      <c r="G294" s="358">
        <f>+G295+G297+G299</f>
        <v>0</v>
      </c>
      <c r="H294" s="358">
        <f>+H295+H297+H299</f>
        <v>100000</v>
      </c>
      <c r="I294" s="358">
        <f>+I295+I297+I299</f>
        <v>0</v>
      </c>
      <c r="J294" s="358">
        <f>+J295+J297+J299</f>
        <v>100000</v>
      </c>
      <c r="K294" s="358">
        <f>+K295+K297+K299</f>
        <v>2.130358602020627E-2</v>
      </c>
    </row>
    <row r="295" spans="1:11" ht="12.75" x14ac:dyDescent="0.2">
      <c r="A295" s="359">
        <v>2</v>
      </c>
      <c r="B295" s="360">
        <v>6</v>
      </c>
      <c r="C295" s="360">
        <v>4</v>
      </c>
      <c r="D295" s="360">
        <v>1</v>
      </c>
      <c r="E295" s="360"/>
      <c r="F295" s="372" t="s">
        <v>832</v>
      </c>
      <c r="G295" s="374">
        <f>+G296</f>
        <v>0</v>
      </c>
      <c r="H295" s="374">
        <f>+H296</f>
        <v>0</v>
      </c>
      <c r="I295" s="374">
        <f>+I296</f>
        <v>0</v>
      </c>
      <c r="J295" s="374">
        <f>+J296</f>
        <v>0</v>
      </c>
      <c r="K295" s="53">
        <f>+K296</f>
        <v>0</v>
      </c>
    </row>
    <row r="296" spans="1:11" ht="12.75" x14ac:dyDescent="0.2">
      <c r="A296" s="363">
        <v>2</v>
      </c>
      <c r="B296" s="364">
        <v>6</v>
      </c>
      <c r="C296" s="364">
        <v>4</v>
      </c>
      <c r="D296" s="364">
        <v>1</v>
      </c>
      <c r="E296" s="364" t="s">
        <v>610</v>
      </c>
      <c r="F296" s="367" t="s">
        <v>832</v>
      </c>
      <c r="G296" s="373"/>
      <c r="H296" s="28"/>
      <c r="I296" s="28"/>
      <c r="J296" s="343">
        <f>SUBTOTAL(9,G296:I296)</f>
        <v>0</v>
      </c>
      <c r="K296" s="345">
        <f>IFERROR(J296/$J$18*100,"0.00")</f>
        <v>0</v>
      </c>
    </row>
    <row r="297" spans="1:11" ht="12.75" x14ac:dyDescent="0.2">
      <c r="A297" s="359">
        <v>2</v>
      </c>
      <c r="B297" s="360">
        <v>6</v>
      </c>
      <c r="C297" s="360">
        <v>4</v>
      </c>
      <c r="D297" s="360">
        <v>2</v>
      </c>
      <c r="E297" s="360"/>
      <c r="F297" s="372" t="s">
        <v>833</v>
      </c>
      <c r="G297" s="374">
        <f>+G298</f>
        <v>0</v>
      </c>
      <c r="H297" s="374">
        <f>+H298</f>
        <v>0</v>
      </c>
      <c r="I297" s="374">
        <f>+I298</f>
        <v>0</v>
      </c>
      <c r="J297" s="374">
        <f>+J298</f>
        <v>0</v>
      </c>
      <c r="K297" s="53">
        <f>+K298</f>
        <v>0</v>
      </c>
    </row>
    <row r="298" spans="1:11" ht="12.75" x14ac:dyDescent="0.2">
      <c r="A298" s="363">
        <v>2</v>
      </c>
      <c r="B298" s="364">
        <v>6</v>
      </c>
      <c r="C298" s="364">
        <v>4</v>
      </c>
      <c r="D298" s="364">
        <v>2</v>
      </c>
      <c r="E298" s="364" t="s">
        <v>610</v>
      </c>
      <c r="F298" s="367" t="s">
        <v>833</v>
      </c>
      <c r="G298" s="373"/>
      <c r="H298" s="373"/>
      <c r="I298" s="373"/>
      <c r="J298" s="343">
        <f>SUBTOTAL(9,G298:I298)</f>
        <v>0</v>
      </c>
      <c r="K298" s="345">
        <f>IFERROR(J298/$J$18*100,"0.00")</f>
        <v>0</v>
      </c>
    </row>
    <row r="299" spans="1:11" ht="12.75" x14ac:dyDescent="0.2">
      <c r="A299" s="359">
        <v>2</v>
      </c>
      <c r="B299" s="360">
        <v>6</v>
      </c>
      <c r="C299" s="360">
        <v>4</v>
      </c>
      <c r="D299" s="360">
        <v>8</v>
      </c>
      <c r="E299" s="360"/>
      <c r="F299" s="372" t="s">
        <v>834</v>
      </c>
      <c r="G299" s="374">
        <f>+G300</f>
        <v>0</v>
      </c>
      <c r="H299" s="374">
        <f>+H300</f>
        <v>100000</v>
      </c>
      <c r="I299" s="374">
        <f>+I300</f>
        <v>0</v>
      </c>
      <c r="J299" s="374">
        <f>+J300</f>
        <v>100000</v>
      </c>
      <c r="K299" s="53">
        <f>+K300</f>
        <v>2.130358602020627E-2</v>
      </c>
    </row>
    <row r="300" spans="1:11" ht="12.75" x14ac:dyDescent="0.2">
      <c r="A300" s="363">
        <v>2</v>
      </c>
      <c r="B300" s="364">
        <v>6</v>
      </c>
      <c r="C300" s="364">
        <v>4</v>
      </c>
      <c r="D300" s="364">
        <v>8</v>
      </c>
      <c r="E300" s="364" t="s">
        <v>610</v>
      </c>
      <c r="F300" s="367" t="s">
        <v>834</v>
      </c>
      <c r="G300" s="373"/>
      <c r="H300" s="27">
        <v>100000</v>
      </c>
      <c r="I300" s="27"/>
      <c r="J300" s="343">
        <f t="shared" ref="J300:J305" si="24">SUBTOTAL(9,G300:I300)</f>
        <v>100000</v>
      </c>
      <c r="K300" s="345">
        <f>IFERROR(J300/$J$18*100,"0.00")</f>
        <v>2.130358602020627E-2</v>
      </c>
    </row>
    <row r="301" spans="1:11" ht="12.75" x14ac:dyDescent="0.2">
      <c r="A301" s="355">
        <v>2</v>
      </c>
      <c r="B301" s="356">
        <v>6</v>
      </c>
      <c r="C301" s="356">
        <v>5</v>
      </c>
      <c r="D301" s="356"/>
      <c r="E301" s="356"/>
      <c r="F301" s="357" t="s">
        <v>835</v>
      </c>
      <c r="G301" s="358">
        <f>+G302+G304+G306+G308</f>
        <v>0</v>
      </c>
      <c r="H301" s="358">
        <f>+H302+H304+H306+H308</f>
        <v>1573800</v>
      </c>
      <c r="I301" s="358">
        <f>+I302+I304+I306+I308</f>
        <v>0</v>
      </c>
      <c r="J301" s="358">
        <f>+J302+J304+J306+J308</f>
        <v>1573800</v>
      </c>
      <c r="K301" s="358">
        <f>+K302+K304+K306+K308</f>
        <v>0.33527583678600625</v>
      </c>
    </row>
    <row r="302" spans="1:11" ht="12.75" x14ac:dyDescent="0.2">
      <c r="A302" s="359">
        <v>2</v>
      </c>
      <c r="B302" s="360">
        <v>6</v>
      </c>
      <c r="C302" s="360">
        <v>5</v>
      </c>
      <c r="D302" s="360">
        <v>2</v>
      </c>
      <c r="E302" s="360"/>
      <c r="F302" s="372" t="s">
        <v>836</v>
      </c>
      <c r="G302" s="374">
        <f>+G303</f>
        <v>0</v>
      </c>
      <c r="H302" s="374">
        <f>+H303</f>
        <v>0</v>
      </c>
      <c r="I302" s="374">
        <f>+I303</f>
        <v>0</v>
      </c>
      <c r="J302" s="374">
        <f>+J303</f>
        <v>0</v>
      </c>
      <c r="K302" s="53">
        <f>+K303</f>
        <v>0</v>
      </c>
    </row>
    <row r="303" spans="1:11" ht="12.75" x14ac:dyDescent="0.2">
      <c r="A303" s="363">
        <v>2</v>
      </c>
      <c r="B303" s="364">
        <v>6</v>
      </c>
      <c r="C303" s="364">
        <v>5</v>
      </c>
      <c r="D303" s="364">
        <v>2</v>
      </c>
      <c r="E303" s="364" t="s">
        <v>610</v>
      </c>
      <c r="F303" s="367" t="s">
        <v>836</v>
      </c>
      <c r="G303" s="373"/>
      <c r="H303" s="27"/>
      <c r="I303" s="27"/>
      <c r="J303" s="343">
        <f t="shared" si="24"/>
        <v>0</v>
      </c>
      <c r="K303" s="345">
        <f>IFERROR(J303/$J$18*100,"0.00")</f>
        <v>0</v>
      </c>
    </row>
    <row r="304" spans="1:11" ht="12.75" x14ac:dyDescent="0.2">
      <c r="A304" s="359">
        <v>2</v>
      </c>
      <c r="B304" s="360">
        <v>6</v>
      </c>
      <c r="C304" s="360">
        <v>5</v>
      </c>
      <c r="D304" s="360">
        <v>4</v>
      </c>
      <c r="E304" s="360"/>
      <c r="F304" s="372" t="s">
        <v>837</v>
      </c>
      <c r="G304" s="374">
        <f>+G305</f>
        <v>0</v>
      </c>
      <c r="H304" s="374">
        <f>+H305</f>
        <v>650000</v>
      </c>
      <c r="I304" s="374">
        <f>+I305</f>
        <v>0</v>
      </c>
      <c r="J304" s="374">
        <f>+J305</f>
        <v>650000</v>
      </c>
      <c r="K304" s="53">
        <f>+K305</f>
        <v>0.13847330913134076</v>
      </c>
    </row>
    <row r="305" spans="1:11" ht="12.75" x14ac:dyDescent="0.2">
      <c r="A305" s="363">
        <v>2</v>
      </c>
      <c r="B305" s="364">
        <v>6</v>
      </c>
      <c r="C305" s="364">
        <v>5</v>
      </c>
      <c r="D305" s="364">
        <v>4</v>
      </c>
      <c r="E305" s="364" t="s">
        <v>610</v>
      </c>
      <c r="F305" s="367" t="s">
        <v>837</v>
      </c>
      <c r="G305" s="373"/>
      <c r="H305" s="28">
        <v>650000</v>
      </c>
      <c r="I305" s="28"/>
      <c r="J305" s="343">
        <f t="shared" si="24"/>
        <v>650000</v>
      </c>
      <c r="K305" s="345">
        <f>IFERROR(J305/$J$18*100,"0.00")</f>
        <v>0.13847330913134076</v>
      </c>
    </row>
    <row r="306" spans="1:11" ht="12.75" x14ac:dyDescent="0.2">
      <c r="A306" s="359">
        <v>2</v>
      </c>
      <c r="B306" s="360">
        <v>6</v>
      </c>
      <c r="C306" s="360">
        <v>5</v>
      </c>
      <c r="D306" s="360">
        <v>5</v>
      </c>
      <c r="E306" s="360"/>
      <c r="F306" s="372" t="s">
        <v>838</v>
      </c>
      <c r="G306" s="374">
        <f>+G307</f>
        <v>0</v>
      </c>
      <c r="H306" s="374">
        <f>+H307</f>
        <v>0</v>
      </c>
      <c r="I306" s="374">
        <f>+I307</f>
        <v>0</v>
      </c>
      <c r="J306" s="374">
        <f>+J307</f>
        <v>0</v>
      </c>
      <c r="K306" s="53">
        <f>+K307</f>
        <v>0</v>
      </c>
    </row>
    <row r="307" spans="1:11" ht="12.75" x14ac:dyDescent="0.2">
      <c r="A307" s="363">
        <v>2</v>
      </c>
      <c r="B307" s="364">
        <v>6</v>
      </c>
      <c r="C307" s="364">
        <v>5</v>
      </c>
      <c r="D307" s="364">
        <v>5</v>
      </c>
      <c r="E307" s="364" t="s">
        <v>610</v>
      </c>
      <c r="F307" s="367" t="s">
        <v>838</v>
      </c>
      <c r="G307" s="373"/>
      <c r="H307" s="27"/>
      <c r="I307" s="27"/>
      <c r="J307" s="343">
        <f t="shared" ref="J307:J312" si="25">SUBTOTAL(9,G307:I307)</f>
        <v>0</v>
      </c>
      <c r="K307" s="345">
        <f>IFERROR(J307/$J$18*100,"0.00")</f>
        <v>0</v>
      </c>
    </row>
    <row r="308" spans="1:11" ht="12.75" x14ac:dyDescent="0.2">
      <c r="A308" s="359">
        <v>2</v>
      </c>
      <c r="B308" s="360">
        <v>6</v>
      </c>
      <c r="C308" s="360">
        <v>5</v>
      </c>
      <c r="D308" s="360">
        <v>6</v>
      </c>
      <c r="E308" s="360"/>
      <c r="F308" s="372" t="s">
        <v>839</v>
      </c>
      <c r="G308" s="374">
        <f>+G309</f>
        <v>0</v>
      </c>
      <c r="H308" s="374">
        <f>+H309</f>
        <v>923800</v>
      </c>
      <c r="I308" s="374">
        <f>+I309</f>
        <v>0</v>
      </c>
      <c r="J308" s="374">
        <f>+J309</f>
        <v>923800</v>
      </c>
      <c r="K308" s="53">
        <f>+K309</f>
        <v>0.19680252765466549</v>
      </c>
    </row>
    <row r="309" spans="1:11" ht="12.75" x14ac:dyDescent="0.2">
      <c r="A309" s="363">
        <v>2</v>
      </c>
      <c r="B309" s="364">
        <v>6</v>
      </c>
      <c r="C309" s="364">
        <v>5</v>
      </c>
      <c r="D309" s="364">
        <v>6</v>
      </c>
      <c r="E309" s="364" t="s">
        <v>610</v>
      </c>
      <c r="F309" s="367" t="s">
        <v>839</v>
      </c>
      <c r="G309" s="373"/>
      <c r="H309" s="27">
        <v>923800</v>
      </c>
      <c r="I309" s="27"/>
      <c r="J309" s="343">
        <f t="shared" si="25"/>
        <v>923800</v>
      </c>
      <c r="K309" s="345">
        <f>IFERROR(J309/$J$18*100,"0.00")</f>
        <v>0.19680252765466549</v>
      </c>
    </row>
    <row r="310" spans="1:11" ht="12.75" x14ac:dyDescent="0.2">
      <c r="A310" s="355">
        <v>2</v>
      </c>
      <c r="B310" s="356">
        <v>6</v>
      </c>
      <c r="C310" s="356">
        <v>6</v>
      </c>
      <c r="D310" s="356"/>
      <c r="E310" s="356"/>
      <c r="F310" s="357" t="s">
        <v>840</v>
      </c>
      <c r="G310" s="358">
        <f t="shared" ref="G310:K311" si="26">+G311</f>
        <v>0</v>
      </c>
      <c r="H310" s="358">
        <f t="shared" si="26"/>
        <v>0</v>
      </c>
      <c r="I310" s="358">
        <f t="shared" si="26"/>
        <v>0</v>
      </c>
      <c r="J310" s="358">
        <f t="shared" si="26"/>
        <v>0</v>
      </c>
      <c r="K310" s="379">
        <f t="shared" si="26"/>
        <v>0</v>
      </c>
    </row>
    <row r="311" spans="1:11" ht="12.75" x14ac:dyDescent="0.2">
      <c r="A311" s="359">
        <v>2</v>
      </c>
      <c r="B311" s="360">
        <v>6</v>
      </c>
      <c r="C311" s="360">
        <v>6</v>
      </c>
      <c r="D311" s="360">
        <v>2</v>
      </c>
      <c r="E311" s="360"/>
      <c r="F311" s="361" t="s">
        <v>858</v>
      </c>
      <c r="G311" s="374">
        <f t="shared" si="26"/>
        <v>0</v>
      </c>
      <c r="H311" s="374">
        <f t="shared" si="26"/>
        <v>0</v>
      </c>
      <c r="I311" s="374">
        <f t="shared" si="26"/>
        <v>0</v>
      </c>
      <c r="J311" s="374">
        <f t="shared" si="26"/>
        <v>0</v>
      </c>
      <c r="K311" s="53">
        <f t="shared" si="26"/>
        <v>0</v>
      </c>
    </row>
    <row r="312" spans="1:11" ht="12.75" x14ac:dyDescent="0.2">
      <c r="A312" s="363">
        <v>2</v>
      </c>
      <c r="B312" s="364">
        <v>6</v>
      </c>
      <c r="C312" s="364">
        <v>6</v>
      </c>
      <c r="D312" s="364">
        <v>2</v>
      </c>
      <c r="E312" s="364" t="s">
        <v>610</v>
      </c>
      <c r="F312" s="367" t="s">
        <v>858</v>
      </c>
      <c r="G312" s="373"/>
      <c r="H312" s="28"/>
      <c r="I312" s="28"/>
      <c r="J312" s="343">
        <f t="shared" si="25"/>
        <v>0</v>
      </c>
      <c r="K312" s="345">
        <f>IFERROR(J312/$J$18*100,"0.00")</f>
        <v>0</v>
      </c>
    </row>
    <row r="313" spans="1:11" ht="12.75" x14ac:dyDescent="0.2">
      <c r="A313" s="355">
        <v>2</v>
      </c>
      <c r="B313" s="356">
        <v>6</v>
      </c>
      <c r="C313" s="356">
        <v>8</v>
      </c>
      <c r="D313" s="356"/>
      <c r="E313" s="356"/>
      <c r="F313" s="357" t="s">
        <v>842</v>
      </c>
      <c r="G313" s="358">
        <f>+G314+G317+G319+G321</f>
        <v>0</v>
      </c>
      <c r="H313" s="32">
        <f>+H314+H316</f>
        <v>960000</v>
      </c>
      <c r="I313" s="32">
        <f>+I314+I316</f>
        <v>0</v>
      </c>
      <c r="J313" s="32">
        <f>+J314+J316</f>
        <v>960000</v>
      </c>
      <c r="K313" s="32">
        <f>+K314+K316</f>
        <v>0.20451442579398019</v>
      </c>
    </row>
    <row r="314" spans="1:11" ht="12.75" x14ac:dyDescent="0.2">
      <c r="A314" s="359">
        <v>2</v>
      </c>
      <c r="B314" s="360">
        <v>6</v>
      </c>
      <c r="C314" s="360">
        <v>8</v>
      </c>
      <c r="D314" s="360">
        <v>3</v>
      </c>
      <c r="E314" s="360"/>
      <c r="F314" s="372" t="s">
        <v>843</v>
      </c>
      <c r="G314" s="374">
        <f>+G315+G316</f>
        <v>0</v>
      </c>
      <c r="H314" s="30">
        <f>+H315</f>
        <v>960000</v>
      </c>
      <c r="I314" s="30">
        <f>+I315</f>
        <v>0</v>
      </c>
      <c r="J314" s="30">
        <f>+J315</f>
        <v>960000</v>
      </c>
      <c r="K314" s="53">
        <f>+K315</f>
        <v>0.20451442579398019</v>
      </c>
    </row>
    <row r="315" spans="1:11" ht="12.75" x14ac:dyDescent="0.2">
      <c r="A315" s="363">
        <v>2</v>
      </c>
      <c r="B315" s="364">
        <v>6</v>
      </c>
      <c r="C315" s="364">
        <v>8</v>
      </c>
      <c r="D315" s="364">
        <v>3</v>
      </c>
      <c r="E315" s="364" t="s">
        <v>610</v>
      </c>
      <c r="F315" s="367" t="s">
        <v>844</v>
      </c>
      <c r="G315" s="366"/>
      <c r="H315" s="366">
        <v>960000</v>
      </c>
      <c r="I315" s="366"/>
      <c r="J315" s="343">
        <f>SUBTOTAL(9,G315:I315)</f>
        <v>960000</v>
      </c>
      <c r="K315" s="345">
        <f>IFERROR(J315/$J$18*100,"0.00")</f>
        <v>0.20451442579398019</v>
      </c>
    </row>
    <row r="316" spans="1:11" ht="12.75" x14ac:dyDescent="0.2">
      <c r="A316" s="363">
        <v>2</v>
      </c>
      <c r="B316" s="364">
        <v>6</v>
      </c>
      <c r="C316" s="364">
        <v>8</v>
      </c>
      <c r="D316" s="364">
        <v>3</v>
      </c>
      <c r="E316" s="364" t="s">
        <v>612</v>
      </c>
      <c r="F316" s="367" t="s">
        <v>504</v>
      </c>
      <c r="G316" s="373"/>
      <c r="H316" s="373"/>
      <c r="I316" s="373"/>
      <c r="J316" s="343">
        <f t="shared" ref="J316:J325" si="27">SUBTOTAL(9,G316:I316)</f>
        <v>0</v>
      </c>
      <c r="K316" s="345">
        <f>IFERROR(J316/$J$18*100,"0.00")</f>
        <v>0</v>
      </c>
    </row>
    <row r="317" spans="1:11" ht="12.75" x14ac:dyDescent="0.2">
      <c r="A317" s="359">
        <v>2</v>
      </c>
      <c r="B317" s="360">
        <v>6</v>
      </c>
      <c r="C317" s="360">
        <v>8</v>
      </c>
      <c r="D317" s="360">
        <v>5</v>
      </c>
      <c r="E317" s="360"/>
      <c r="F317" s="372" t="s">
        <v>845</v>
      </c>
      <c r="G317" s="374">
        <f>+G318</f>
        <v>0</v>
      </c>
      <c r="H317" s="374">
        <f>+H318</f>
        <v>0</v>
      </c>
      <c r="I317" s="374">
        <f>+I318</f>
        <v>0</v>
      </c>
      <c r="J317" s="374">
        <f>+J318</f>
        <v>0</v>
      </c>
      <c r="K317" s="53">
        <f>+K318</f>
        <v>0</v>
      </c>
    </row>
    <row r="318" spans="1:11" ht="12.75" x14ac:dyDescent="0.2">
      <c r="A318" s="363">
        <v>2</v>
      </c>
      <c r="B318" s="364">
        <v>6</v>
      </c>
      <c r="C318" s="364">
        <v>8</v>
      </c>
      <c r="D318" s="364">
        <v>5</v>
      </c>
      <c r="E318" s="364" t="s">
        <v>610</v>
      </c>
      <c r="F318" s="367" t="s">
        <v>845</v>
      </c>
      <c r="G318" s="373"/>
      <c r="H318" s="373"/>
      <c r="I318" s="373"/>
      <c r="J318" s="343">
        <f t="shared" si="27"/>
        <v>0</v>
      </c>
      <c r="K318" s="345">
        <f>IFERROR(J318/$J$18*100,"0.00")</f>
        <v>0</v>
      </c>
    </row>
    <row r="319" spans="1:11" ht="12.75" x14ac:dyDescent="0.2">
      <c r="A319" s="359">
        <v>2</v>
      </c>
      <c r="B319" s="360">
        <v>6</v>
      </c>
      <c r="C319" s="360">
        <v>8</v>
      </c>
      <c r="D319" s="360">
        <v>8</v>
      </c>
      <c r="E319" s="360"/>
      <c r="F319" s="361" t="s">
        <v>846</v>
      </c>
      <c r="G319" s="374">
        <f>+G320</f>
        <v>0</v>
      </c>
      <c r="H319" s="374">
        <f>+H320</f>
        <v>960000</v>
      </c>
      <c r="I319" s="374">
        <f>+I320</f>
        <v>0</v>
      </c>
      <c r="J319" s="374">
        <f>+J320</f>
        <v>960000</v>
      </c>
      <c r="K319" s="53">
        <f>+K320</f>
        <v>0.20451442579398019</v>
      </c>
    </row>
    <row r="320" spans="1:11" ht="12.75" x14ac:dyDescent="0.2">
      <c r="A320" s="363">
        <v>2</v>
      </c>
      <c r="B320" s="364">
        <v>6</v>
      </c>
      <c r="C320" s="364">
        <v>8</v>
      </c>
      <c r="D320" s="364">
        <v>8</v>
      </c>
      <c r="E320" s="364" t="s">
        <v>610</v>
      </c>
      <c r="F320" s="367" t="s">
        <v>847</v>
      </c>
      <c r="G320" s="366"/>
      <c r="H320" s="366">
        <v>960000</v>
      </c>
      <c r="I320" s="366"/>
      <c r="J320" s="343">
        <f t="shared" si="27"/>
        <v>960000</v>
      </c>
      <c r="K320" s="345">
        <f>IFERROR(J320/$J$18*100,"0.00")</f>
        <v>0.20451442579398019</v>
      </c>
    </row>
    <row r="321" spans="1:11" ht="12.75" x14ac:dyDescent="0.2">
      <c r="A321" s="359">
        <v>2</v>
      </c>
      <c r="B321" s="360">
        <v>6</v>
      </c>
      <c r="C321" s="360">
        <v>8</v>
      </c>
      <c r="D321" s="360">
        <v>9</v>
      </c>
      <c r="E321" s="360"/>
      <c r="F321" s="361" t="s">
        <v>848</v>
      </c>
      <c r="G321" s="374">
        <f>+G322</f>
        <v>0</v>
      </c>
      <c r="H321" s="374">
        <f>+H322</f>
        <v>0</v>
      </c>
      <c r="I321" s="374">
        <f>+I322</f>
        <v>0</v>
      </c>
      <c r="J321" s="374">
        <f>+J322</f>
        <v>0</v>
      </c>
      <c r="K321" s="53">
        <f>+K322</f>
        <v>0</v>
      </c>
    </row>
    <row r="322" spans="1:11" ht="12.75" x14ac:dyDescent="0.2">
      <c r="A322" s="363">
        <v>2</v>
      </c>
      <c r="B322" s="364">
        <v>6</v>
      </c>
      <c r="C322" s="364">
        <v>8</v>
      </c>
      <c r="D322" s="364">
        <v>9</v>
      </c>
      <c r="E322" s="364" t="s">
        <v>610</v>
      </c>
      <c r="F322" s="367" t="s">
        <v>848</v>
      </c>
      <c r="G322" s="373"/>
      <c r="H322" s="27"/>
      <c r="I322" s="27"/>
      <c r="J322" s="343">
        <f t="shared" si="27"/>
        <v>0</v>
      </c>
      <c r="K322" s="345">
        <f>IFERROR(J322/$J$18*100,"0.00")</f>
        <v>0</v>
      </c>
    </row>
    <row r="323" spans="1:11" ht="12.75" x14ac:dyDescent="0.2">
      <c r="A323" s="351">
        <v>2</v>
      </c>
      <c r="B323" s="352">
        <v>7</v>
      </c>
      <c r="C323" s="352"/>
      <c r="D323" s="352"/>
      <c r="E323" s="352"/>
      <c r="F323" s="353" t="s">
        <v>849</v>
      </c>
      <c r="G323" s="354">
        <f>+G324</f>
        <v>0</v>
      </c>
      <c r="H323" s="354">
        <f t="shared" ref="H323:K324" si="28">+H324</f>
        <v>0</v>
      </c>
      <c r="I323" s="354">
        <f t="shared" si="28"/>
        <v>0</v>
      </c>
      <c r="J323" s="354">
        <f t="shared" si="28"/>
        <v>0</v>
      </c>
      <c r="K323" s="381">
        <f t="shared" si="28"/>
        <v>0</v>
      </c>
    </row>
    <row r="324" spans="1:11" ht="12.75" x14ac:dyDescent="0.2">
      <c r="A324" s="355">
        <v>2</v>
      </c>
      <c r="B324" s="356">
        <v>7</v>
      </c>
      <c r="C324" s="356">
        <v>1</v>
      </c>
      <c r="D324" s="356"/>
      <c r="E324" s="356"/>
      <c r="F324" s="357" t="s">
        <v>850</v>
      </c>
      <c r="G324" s="358">
        <f>+G325</f>
        <v>0</v>
      </c>
      <c r="H324" s="358">
        <f t="shared" si="28"/>
        <v>0</v>
      </c>
      <c r="I324" s="358">
        <f t="shared" si="28"/>
        <v>0</v>
      </c>
      <c r="J324" s="358">
        <f t="shared" si="28"/>
        <v>0</v>
      </c>
      <c r="K324" s="379">
        <f t="shared" si="28"/>
        <v>0</v>
      </c>
    </row>
    <row r="325" spans="1:11" ht="12.75" x14ac:dyDescent="0.2">
      <c r="A325" s="359">
        <v>2</v>
      </c>
      <c r="B325" s="360">
        <v>7</v>
      </c>
      <c r="C325" s="360">
        <v>1</v>
      </c>
      <c r="D325" s="360">
        <v>2</v>
      </c>
      <c r="E325" s="360"/>
      <c r="F325" s="372" t="s">
        <v>851</v>
      </c>
      <c r="G325" s="374">
        <f>+G326</f>
        <v>0</v>
      </c>
      <c r="H325" s="374">
        <f>+H326</f>
        <v>0</v>
      </c>
      <c r="I325" s="374">
        <f>+I326</f>
        <v>0</v>
      </c>
      <c r="J325" s="343">
        <f t="shared" si="27"/>
        <v>0</v>
      </c>
      <c r="K325" s="53">
        <f>+K326</f>
        <v>0</v>
      </c>
    </row>
    <row r="326" spans="1:11" ht="12.75" x14ac:dyDescent="0.2">
      <c r="A326" s="47">
        <v>2</v>
      </c>
      <c r="B326" s="48">
        <v>7</v>
      </c>
      <c r="C326" s="48">
        <v>1</v>
      </c>
      <c r="D326" s="48">
        <v>2</v>
      </c>
      <c r="E326" s="48" t="s">
        <v>610</v>
      </c>
      <c r="F326" s="49" t="s">
        <v>851</v>
      </c>
      <c r="G326" s="50"/>
      <c r="H326" s="50"/>
      <c r="I326" s="50"/>
      <c r="J326" s="382">
        <f>SUBTOTAL(9,G326:I326)</f>
        <v>0</v>
      </c>
      <c r="K326" s="383">
        <f>IFERROR(J326/$J$18*100,"0.00")</f>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8" customWidth="1"/>
    <col min="2" max="2" width="78.42578125" style="248" customWidth="1"/>
    <col min="3" max="3" width="32.28515625" style="245" customWidth="1"/>
    <col min="4" max="4" width="13" style="247" customWidth="1"/>
    <col min="5" max="5" width="15.42578125" style="245" customWidth="1"/>
    <col min="6" max="6" width="16.7109375" style="245" customWidth="1"/>
    <col min="7" max="256" width="9.140625" style="93"/>
    <col min="257" max="257" width="30.7109375" style="93" customWidth="1"/>
    <col min="258" max="258" width="30.140625" style="93" customWidth="1"/>
    <col min="259" max="259" width="52.85546875" style="93" customWidth="1"/>
    <col min="260" max="260" width="13" style="93" customWidth="1"/>
    <col min="261" max="261" width="15.42578125" style="93" customWidth="1"/>
    <col min="262" max="262" width="16.7109375" style="93" customWidth="1"/>
    <col min="263" max="512" width="9.140625" style="93"/>
    <col min="513" max="513" width="30.7109375" style="93" customWidth="1"/>
    <col min="514" max="514" width="30.140625" style="93" customWidth="1"/>
    <col min="515" max="515" width="52.85546875" style="93" customWidth="1"/>
    <col min="516" max="516" width="13" style="93" customWidth="1"/>
    <col min="517" max="517" width="15.42578125" style="93" customWidth="1"/>
    <col min="518" max="518" width="16.7109375" style="93" customWidth="1"/>
    <col min="519" max="768" width="9.140625" style="93"/>
    <col min="769" max="769" width="30.7109375" style="93" customWidth="1"/>
    <col min="770" max="770" width="30.140625" style="93" customWidth="1"/>
    <col min="771" max="771" width="52.85546875" style="93" customWidth="1"/>
    <col min="772" max="772" width="13" style="93" customWidth="1"/>
    <col min="773" max="773" width="15.42578125" style="93" customWidth="1"/>
    <col min="774" max="774" width="16.7109375" style="93" customWidth="1"/>
    <col min="775" max="1024" width="9.140625" style="93"/>
    <col min="1025" max="1025" width="30.7109375" style="93" customWidth="1"/>
    <col min="1026" max="1026" width="30.140625" style="93" customWidth="1"/>
    <col min="1027" max="1027" width="52.85546875" style="93" customWidth="1"/>
    <col min="1028" max="1028" width="13" style="93" customWidth="1"/>
    <col min="1029" max="1029" width="15.42578125" style="93" customWidth="1"/>
    <col min="1030" max="1030" width="16.7109375" style="93" customWidth="1"/>
    <col min="1031" max="1280" width="9.140625" style="93"/>
    <col min="1281" max="1281" width="30.7109375" style="93" customWidth="1"/>
    <col min="1282" max="1282" width="30.140625" style="93" customWidth="1"/>
    <col min="1283" max="1283" width="52.85546875" style="93" customWidth="1"/>
    <col min="1284" max="1284" width="13" style="93" customWidth="1"/>
    <col min="1285" max="1285" width="15.42578125" style="93" customWidth="1"/>
    <col min="1286" max="1286" width="16.7109375" style="93" customWidth="1"/>
    <col min="1287" max="1536" width="9.140625" style="93"/>
    <col min="1537" max="1537" width="30.7109375" style="93" customWidth="1"/>
    <col min="1538" max="1538" width="30.140625" style="93" customWidth="1"/>
    <col min="1539" max="1539" width="52.85546875" style="93" customWidth="1"/>
    <col min="1540" max="1540" width="13" style="93" customWidth="1"/>
    <col min="1541" max="1541" width="15.42578125" style="93" customWidth="1"/>
    <col min="1542" max="1542" width="16.7109375" style="93" customWidth="1"/>
    <col min="1543" max="1792" width="9.140625" style="93"/>
    <col min="1793" max="1793" width="30.7109375" style="93" customWidth="1"/>
    <col min="1794" max="1794" width="30.140625" style="93" customWidth="1"/>
    <col min="1795" max="1795" width="52.85546875" style="93" customWidth="1"/>
    <col min="1796" max="1796" width="13" style="93" customWidth="1"/>
    <col min="1797" max="1797" width="15.42578125" style="93" customWidth="1"/>
    <col min="1798" max="1798" width="16.7109375" style="93" customWidth="1"/>
    <col min="1799" max="2048" width="9.140625" style="93"/>
    <col min="2049" max="2049" width="30.7109375" style="93" customWidth="1"/>
    <col min="2050" max="2050" width="30.140625" style="93" customWidth="1"/>
    <col min="2051" max="2051" width="52.85546875" style="93" customWidth="1"/>
    <col min="2052" max="2052" width="13" style="93" customWidth="1"/>
    <col min="2053" max="2053" width="15.42578125" style="93" customWidth="1"/>
    <col min="2054" max="2054" width="16.7109375" style="93" customWidth="1"/>
    <col min="2055" max="2304" width="9.140625" style="93"/>
    <col min="2305" max="2305" width="30.7109375" style="93" customWidth="1"/>
    <col min="2306" max="2306" width="30.140625" style="93" customWidth="1"/>
    <col min="2307" max="2307" width="52.85546875" style="93" customWidth="1"/>
    <col min="2308" max="2308" width="13" style="93" customWidth="1"/>
    <col min="2309" max="2309" width="15.42578125" style="93" customWidth="1"/>
    <col min="2310" max="2310" width="16.7109375" style="93" customWidth="1"/>
    <col min="2311" max="2560" width="9.140625" style="93"/>
    <col min="2561" max="2561" width="30.7109375" style="93" customWidth="1"/>
    <col min="2562" max="2562" width="30.140625" style="93" customWidth="1"/>
    <col min="2563" max="2563" width="52.85546875" style="93" customWidth="1"/>
    <col min="2564" max="2564" width="13" style="93" customWidth="1"/>
    <col min="2565" max="2565" width="15.42578125" style="93" customWidth="1"/>
    <col min="2566" max="2566" width="16.7109375" style="93" customWidth="1"/>
    <col min="2567" max="2816" width="9.140625" style="93"/>
    <col min="2817" max="2817" width="30.7109375" style="93" customWidth="1"/>
    <col min="2818" max="2818" width="30.140625" style="93" customWidth="1"/>
    <col min="2819" max="2819" width="52.85546875" style="93" customWidth="1"/>
    <col min="2820" max="2820" width="13" style="93" customWidth="1"/>
    <col min="2821" max="2821" width="15.42578125" style="93" customWidth="1"/>
    <col min="2822" max="2822" width="16.7109375" style="93" customWidth="1"/>
    <col min="2823" max="3072" width="9.140625" style="93"/>
    <col min="3073" max="3073" width="30.7109375" style="93" customWidth="1"/>
    <col min="3074" max="3074" width="30.140625" style="93" customWidth="1"/>
    <col min="3075" max="3075" width="52.85546875" style="93" customWidth="1"/>
    <col min="3076" max="3076" width="13" style="93" customWidth="1"/>
    <col min="3077" max="3077" width="15.42578125" style="93" customWidth="1"/>
    <col min="3078" max="3078" width="16.7109375" style="93" customWidth="1"/>
    <col min="3079" max="3328" width="9.140625" style="93"/>
    <col min="3329" max="3329" width="30.7109375" style="93" customWidth="1"/>
    <col min="3330" max="3330" width="30.140625" style="93" customWidth="1"/>
    <col min="3331" max="3331" width="52.85546875" style="93" customWidth="1"/>
    <col min="3332" max="3332" width="13" style="93" customWidth="1"/>
    <col min="3333" max="3333" width="15.42578125" style="93" customWidth="1"/>
    <col min="3334" max="3334" width="16.7109375" style="93" customWidth="1"/>
    <col min="3335" max="3584" width="9.140625" style="93"/>
    <col min="3585" max="3585" width="30.7109375" style="93" customWidth="1"/>
    <col min="3586" max="3586" width="30.140625" style="93" customWidth="1"/>
    <col min="3587" max="3587" width="52.85546875" style="93" customWidth="1"/>
    <col min="3588" max="3588" width="13" style="93" customWidth="1"/>
    <col min="3589" max="3589" width="15.42578125" style="93" customWidth="1"/>
    <col min="3590" max="3590" width="16.7109375" style="93" customWidth="1"/>
    <col min="3591" max="3840" width="9.140625" style="93"/>
    <col min="3841" max="3841" width="30.7109375" style="93" customWidth="1"/>
    <col min="3842" max="3842" width="30.140625" style="93" customWidth="1"/>
    <col min="3843" max="3843" width="52.85546875" style="93" customWidth="1"/>
    <col min="3844" max="3844" width="13" style="93" customWidth="1"/>
    <col min="3845" max="3845" width="15.42578125" style="93" customWidth="1"/>
    <col min="3846" max="3846" width="16.7109375" style="93" customWidth="1"/>
    <col min="3847" max="4096" width="9.140625" style="93"/>
    <col min="4097" max="4097" width="30.7109375" style="93" customWidth="1"/>
    <col min="4098" max="4098" width="30.140625" style="93" customWidth="1"/>
    <col min="4099" max="4099" width="52.85546875" style="93" customWidth="1"/>
    <col min="4100" max="4100" width="13" style="93" customWidth="1"/>
    <col min="4101" max="4101" width="15.42578125" style="93" customWidth="1"/>
    <col min="4102" max="4102" width="16.7109375" style="93" customWidth="1"/>
    <col min="4103" max="4352" width="9.140625" style="93"/>
    <col min="4353" max="4353" width="30.7109375" style="93" customWidth="1"/>
    <col min="4354" max="4354" width="30.140625" style="93" customWidth="1"/>
    <col min="4355" max="4355" width="52.85546875" style="93" customWidth="1"/>
    <col min="4356" max="4356" width="13" style="93" customWidth="1"/>
    <col min="4357" max="4357" width="15.42578125" style="93" customWidth="1"/>
    <col min="4358" max="4358" width="16.7109375" style="93" customWidth="1"/>
    <col min="4359" max="4608" width="9.140625" style="93"/>
    <col min="4609" max="4609" width="30.7109375" style="93" customWidth="1"/>
    <col min="4610" max="4610" width="30.140625" style="93" customWidth="1"/>
    <col min="4611" max="4611" width="52.85546875" style="93" customWidth="1"/>
    <col min="4612" max="4612" width="13" style="93" customWidth="1"/>
    <col min="4613" max="4613" width="15.42578125" style="93" customWidth="1"/>
    <col min="4614" max="4614" width="16.7109375" style="93" customWidth="1"/>
    <col min="4615" max="4864" width="9.140625" style="93"/>
    <col min="4865" max="4865" width="30.7109375" style="93" customWidth="1"/>
    <col min="4866" max="4866" width="30.140625" style="93" customWidth="1"/>
    <col min="4867" max="4867" width="52.85546875" style="93" customWidth="1"/>
    <col min="4868" max="4868" width="13" style="93" customWidth="1"/>
    <col min="4869" max="4869" width="15.42578125" style="93" customWidth="1"/>
    <col min="4870" max="4870" width="16.7109375" style="93" customWidth="1"/>
    <col min="4871" max="5120" width="9.140625" style="93"/>
    <col min="5121" max="5121" width="30.7109375" style="93" customWidth="1"/>
    <col min="5122" max="5122" width="30.140625" style="93" customWidth="1"/>
    <col min="5123" max="5123" width="52.85546875" style="93" customWidth="1"/>
    <col min="5124" max="5124" width="13" style="93" customWidth="1"/>
    <col min="5125" max="5125" width="15.42578125" style="93" customWidth="1"/>
    <col min="5126" max="5126" width="16.7109375" style="93" customWidth="1"/>
    <col min="5127" max="5376" width="9.140625" style="93"/>
    <col min="5377" max="5377" width="30.7109375" style="93" customWidth="1"/>
    <col min="5378" max="5378" width="30.140625" style="93" customWidth="1"/>
    <col min="5379" max="5379" width="52.85546875" style="93" customWidth="1"/>
    <col min="5380" max="5380" width="13" style="93" customWidth="1"/>
    <col min="5381" max="5381" width="15.42578125" style="93" customWidth="1"/>
    <col min="5382" max="5382" width="16.7109375" style="93" customWidth="1"/>
    <col min="5383" max="5632" width="9.140625" style="93"/>
    <col min="5633" max="5633" width="30.7109375" style="93" customWidth="1"/>
    <col min="5634" max="5634" width="30.140625" style="93" customWidth="1"/>
    <col min="5635" max="5635" width="52.85546875" style="93" customWidth="1"/>
    <col min="5636" max="5636" width="13" style="93" customWidth="1"/>
    <col min="5637" max="5637" width="15.42578125" style="93" customWidth="1"/>
    <col min="5638" max="5638" width="16.7109375" style="93" customWidth="1"/>
    <col min="5639" max="5888" width="9.140625" style="93"/>
    <col min="5889" max="5889" width="30.7109375" style="93" customWidth="1"/>
    <col min="5890" max="5890" width="30.140625" style="93" customWidth="1"/>
    <col min="5891" max="5891" width="52.85546875" style="93" customWidth="1"/>
    <col min="5892" max="5892" width="13" style="93" customWidth="1"/>
    <col min="5893" max="5893" width="15.42578125" style="93" customWidth="1"/>
    <col min="5894" max="5894" width="16.7109375" style="93" customWidth="1"/>
    <col min="5895" max="6144" width="9.140625" style="93"/>
    <col min="6145" max="6145" width="30.7109375" style="93" customWidth="1"/>
    <col min="6146" max="6146" width="30.140625" style="93" customWidth="1"/>
    <col min="6147" max="6147" width="52.85546875" style="93" customWidth="1"/>
    <col min="6148" max="6148" width="13" style="93" customWidth="1"/>
    <col min="6149" max="6149" width="15.42578125" style="93" customWidth="1"/>
    <col min="6150" max="6150" width="16.7109375" style="93" customWidth="1"/>
    <col min="6151" max="6400" width="9.140625" style="93"/>
    <col min="6401" max="6401" width="30.7109375" style="93" customWidth="1"/>
    <col min="6402" max="6402" width="30.140625" style="93" customWidth="1"/>
    <col min="6403" max="6403" width="52.85546875" style="93" customWidth="1"/>
    <col min="6404" max="6404" width="13" style="93" customWidth="1"/>
    <col min="6405" max="6405" width="15.42578125" style="93" customWidth="1"/>
    <col min="6406" max="6406" width="16.7109375" style="93" customWidth="1"/>
    <col min="6407" max="6656" width="9.140625" style="93"/>
    <col min="6657" max="6657" width="30.7109375" style="93" customWidth="1"/>
    <col min="6658" max="6658" width="30.140625" style="93" customWidth="1"/>
    <col min="6659" max="6659" width="52.85546875" style="93" customWidth="1"/>
    <col min="6660" max="6660" width="13" style="93" customWidth="1"/>
    <col min="6661" max="6661" width="15.42578125" style="93" customWidth="1"/>
    <col min="6662" max="6662" width="16.7109375" style="93" customWidth="1"/>
    <col min="6663" max="6912" width="9.140625" style="93"/>
    <col min="6913" max="6913" width="30.7109375" style="93" customWidth="1"/>
    <col min="6914" max="6914" width="30.140625" style="93" customWidth="1"/>
    <col min="6915" max="6915" width="52.85546875" style="93" customWidth="1"/>
    <col min="6916" max="6916" width="13" style="93" customWidth="1"/>
    <col min="6917" max="6917" width="15.42578125" style="93" customWidth="1"/>
    <col min="6918" max="6918" width="16.7109375" style="93" customWidth="1"/>
    <col min="6919" max="7168" width="9.140625" style="93"/>
    <col min="7169" max="7169" width="30.7109375" style="93" customWidth="1"/>
    <col min="7170" max="7170" width="30.140625" style="93" customWidth="1"/>
    <col min="7171" max="7171" width="52.85546875" style="93" customWidth="1"/>
    <col min="7172" max="7172" width="13" style="93" customWidth="1"/>
    <col min="7173" max="7173" width="15.42578125" style="93" customWidth="1"/>
    <col min="7174" max="7174" width="16.7109375" style="93" customWidth="1"/>
    <col min="7175" max="7424" width="9.140625" style="93"/>
    <col min="7425" max="7425" width="30.7109375" style="93" customWidth="1"/>
    <col min="7426" max="7426" width="30.140625" style="93" customWidth="1"/>
    <col min="7427" max="7427" width="52.85546875" style="93" customWidth="1"/>
    <col min="7428" max="7428" width="13" style="93" customWidth="1"/>
    <col min="7429" max="7429" width="15.42578125" style="93" customWidth="1"/>
    <col min="7430" max="7430" width="16.7109375" style="93" customWidth="1"/>
    <col min="7431" max="7680" width="9.140625" style="93"/>
    <col min="7681" max="7681" width="30.7109375" style="93" customWidth="1"/>
    <col min="7682" max="7682" width="30.140625" style="93" customWidth="1"/>
    <col min="7683" max="7683" width="52.85546875" style="93" customWidth="1"/>
    <col min="7684" max="7684" width="13" style="93" customWidth="1"/>
    <col min="7685" max="7685" width="15.42578125" style="93" customWidth="1"/>
    <col min="7686" max="7686" width="16.7109375" style="93" customWidth="1"/>
    <col min="7687" max="7936" width="9.140625" style="93"/>
    <col min="7937" max="7937" width="30.7109375" style="93" customWidth="1"/>
    <col min="7938" max="7938" width="30.140625" style="93" customWidth="1"/>
    <col min="7939" max="7939" width="52.85546875" style="93" customWidth="1"/>
    <col min="7940" max="7940" width="13" style="93" customWidth="1"/>
    <col min="7941" max="7941" width="15.42578125" style="93" customWidth="1"/>
    <col min="7942" max="7942" width="16.7109375" style="93" customWidth="1"/>
    <col min="7943" max="8192" width="9.140625" style="93"/>
    <col min="8193" max="8193" width="30.7109375" style="93" customWidth="1"/>
    <col min="8194" max="8194" width="30.140625" style="93" customWidth="1"/>
    <col min="8195" max="8195" width="52.85546875" style="93" customWidth="1"/>
    <col min="8196" max="8196" width="13" style="93" customWidth="1"/>
    <col min="8197" max="8197" width="15.42578125" style="93" customWidth="1"/>
    <col min="8198" max="8198" width="16.7109375" style="93" customWidth="1"/>
    <col min="8199" max="8448" width="9.140625" style="93"/>
    <col min="8449" max="8449" width="30.7109375" style="93" customWidth="1"/>
    <col min="8450" max="8450" width="30.140625" style="93" customWidth="1"/>
    <col min="8451" max="8451" width="52.85546875" style="93" customWidth="1"/>
    <col min="8452" max="8452" width="13" style="93" customWidth="1"/>
    <col min="8453" max="8453" width="15.42578125" style="93" customWidth="1"/>
    <col min="8454" max="8454" width="16.7109375" style="93" customWidth="1"/>
    <col min="8455" max="8704" width="9.140625" style="93"/>
    <col min="8705" max="8705" width="30.7109375" style="93" customWidth="1"/>
    <col min="8706" max="8706" width="30.140625" style="93" customWidth="1"/>
    <col min="8707" max="8707" width="52.85546875" style="93" customWidth="1"/>
    <col min="8708" max="8708" width="13" style="93" customWidth="1"/>
    <col min="8709" max="8709" width="15.42578125" style="93" customWidth="1"/>
    <col min="8710" max="8710" width="16.7109375" style="93" customWidth="1"/>
    <col min="8711" max="8960" width="9.140625" style="93"/>
    <col min="8961" max="8961" width="30.7109375" style="93" customWidth="1"/>
    <col min="8962" max="8962" width="30.140625" style="93" customWidth="1"/>
    <col min="8963" max="8963" width="52.85546875" style="93" customWidth="1"/>
    <col min="8964" max="8964" width="13" style="93" customWidth="1"/>
    <col min="8965" max="8965" width="15.42578125" style="93" customWidth="1"/>
    <col min="8966" max="8966" width="16.7109375" style="93" customWidth="1"/>
    <col min="8967" max="9216" width="9.140625" style="93"/>
    <col min="9217" max="9217" width="30.7109375" style="93" customWidth="1"/>
    <col min="9218" max="9218" width="30.140625" style="93" customWidth="1"/>
    <col min="9219" max="9219" width="52.85546875" style="93" customWidth="1"/>
    <col min="9220" max="9220" width="13" style="93" customWidth="1"/>
    <col min="9221" max="9221" width="15.42578125" style="93" customWidth="1"/>
    <col min="9222" max="9222" width="16.7109375" style="93" customWidth="1"/>
    <col min="9223" max="9472" width="9.140625" style="93"/>
    <col min="9473" max="9473" width="30.7109375" style="93" customWidth="1"/>
    <col min="9474" max="9474" width="30.140625" style="93" customWidth="1"/>
    <col min="9475" max="9475" width="52.85546875" style="93" customWidth="1"/>
    <col min="9476" max="9476" width="13" style="93" customWidth="1"/>
    <col min="9477" max="9477" width="15.42578125" style="93" customWidth="1"/>
    <col min="9478" max="9478" width="16.7109375" style="93" customWidth="1"/>
    <col min="9479" max="9728" width="9.140625" style="93"/>
    <col min="9729" max="9729" width="30.7109375" style="93" customWidth="1"/>
    <col min="9730" max="9730" width="30.140625" style="93" customWidth="1"/>
    <col min="9731" max="9731" width="52.85546875" style="93" customWidth="1"/>
    <col min="9732" max="9732" width="13" style="93" customWidth="1"/>
    <col min="9733" max="9733" width="15.42578125" style="93" customWidth="1"/>
    <col min="9734" max="9734" width="16.7109375" style="93" customWidth="1"/>
    <col min="9735" max="9984" width="9.140625" style="93"/>
    <col min="9985" max="9985" width="30.7109375" style="93" customWidth="1"/>
    <col min="9986" max="9986" width="30.140625" style="93" customWidth="1"/>
    <col min="9987" max="9987" width="52.85546875" style="93" customWidth="1"/>
    <col min="9988" max="9988" width="13" style="93" customWidth="1"/>
    <col min="9989" max="9989" width="15.42578125" style="93" customWidth="1"/>
    <col min="9990" max="9990" width="16.7109375" style="93" customWidth="1"/>
    <col min="9991" max="10240" width="9.140625" style="93"/>
    <col min="10241" max="10241" width="30.7109375" style="93" customWidth="1"/>
    <col min="10242" max="10242" width="30.140625" style="93" customWidth="1"/>
    <col min="10243" max="10243" width="52.85546875" style="93" customWidth="1"/>
    <col min="10244" max="10244" width="13" style="93" customWidth="1"/>
    <col min="10245" max="10245" width="15.42578125" style="93" customWidth="1"/>
    <col min="10246" max="10246" width="16.7109375" style="93" customWidth="1"/>
    <col min="10247" max="10496" width="9.140625" style="93"/>
    <col min="10497" max="10497" width="30.7109375" style="93" customWidth="1"/>
    <col min="10498" max="10498" width="30.140625" style="93" customWidth="1"/>
    <col min="10499" max="10499" width="52.85546875" style="93" customWidth="1"/>
    <col min="10500" max="10500" width="13" style="93" customWidth="1"/>
    <col min="10501" max="10501" width="15.42578125" style="93" customWidth="1"/>
    <col min="10502" max="10502" width="16.7109375" style="93" customWidth="1"/>
    <col min="10503" max="10752" width="9.140625" style="93"/>
    <col min="10753" max="10753" width="30.7109375" style="93" customWidth="1"/>
    <col min="10754" max="10754" width="30.140625" style="93" customWidth="1"/>
    <col min="10755" max="10755" width="52.85546875" style="93" customWidth="1"/>
    <col min="10756" max="10756" width="13" style="93" customWidth="1"/>
    <col min="10757" max="10757" width="15.42578125" style="93" customWidth="1"/>
    <col min="10758" max="10758" width="16.7109375" style="93" customWidth="1"/>
    <col min="10759" max="11008" width="9.140625" style="93"/>
    <col min="11009" max="11009" width="30.7109375" style="93" customWidth="1"/>
    <col min="11010" max="11010" width="30.140625" style="93" customWidth="1"/>
    <col min="11011" max="11011" width="52.85546875" style="93" customWidth="1"/>
    <col min="11012" max="11012" width="13" style="93" customWidth="1"/>
    <col min="11013" max="11013" width="15.42578125" style="93" customWidth="1"/>
    <col min="11014" max="11014" width="16.7109375" style="93" customWidth="1"/>
    <col min="11015" max="11264" width="9.140625" style="93"/>
    <col min="11265" max="11265" width="30.7109375" style="93" customWidth="1"/>
    <col min="11266" max="11266" width="30.140625" style="93" customWidth="1"/>
    <col min="11267" max="11267" width="52.85546875" style="93" customWidth="1"/>
    <col min="11268" max="11268" width="13" style="93" customWidth="1"/>
    <col min="11269" max="11269" width="15.42578125" style="93" customWidth="1"/>
    <col min="11270" max="11270" width="16.7109375" style="93" customWidth="1"/>
    <col min="11271" max="11520" width="9.140625" style="93"/>
    <col min="11521" max="11521" width="30.7109375" style="93" customWidth="1"/>
    <col min="11522" max="11522" width="30.140625" style="93" customWidth="1"/>
    <col min="11523" max="11523" width="52.85546875" style="93" customWidth="1"/>
    <col min="11524" max="11524" width="13" style="93" customWidth="1"/>
    <col min="11525" max="11525" width="15.42578125" style="93" customWidth="1"/>
    <col min="11526" max="11526" width="16.7109375" style="93" customWidth="1"/>
    <col min="11527" max="11776" width="9.140625" style="93"/>
    <col min="11777" max="11777" width="30.7109375" style="93" customWidth="1"/>
    <col min="11778" max="11778" width="30.140625" style="93" customWidth="1"/>
    <col min="11779" max="11779" width="52.85546875" style="93" customWidth="1"/>
    <col min="11780" max="11780" width="13" style="93" customWidth="1"/>
    <col min="11781" max="11781" width="15.42578125" style="93" customWidth="1"/>
    <col min="11782" max="11782" width="16.7109375" style="93" customWidth="1"/>
    <col min="11783" max="12032" width="9.140625" style="93"/>
    <col min="12033" max="12033" width="30.7109375" style="93" customWidth="1"/>
    <col min="12034" max="12034" width="30.140625" style="93" customWidth="1"/>
    <col min="12035" max="12035" width="52.85546875" style="93" customWidth="1"/>
    <col min="12036" max="12036" width="13" style="93" customWidth="1"/>
    <col min="12037" max="12037" width="15.42578125" style="93" customWidth="1"/>
    <col min="12038" max="12038" width="16.7109375" style="93" customWidth="1"/>
    <col min="12039" max="12288" width="9.140625" style="93"/>
    <col min="12289" max="12289" width="30.7109375" style="93" customWidth="1"/>
    <col min="12290" max="12290" width="30.140625" style="93" customWidth="1"/>
    <col min="12291" max="12291" width="52.85546875" style="93" customWidth="1"/>
    <col min="12292" max="12292" width="13" style="93" customWidth="1"/>
    <col min="12293" max="12293" width="15.42578125" style="93" customWidth="1"/>
    <col min="12294" max="12294" width="16.7109375" style="93" customWidth="1"/>
    <col min="12295" max="12544" width="9.140625" style="93"/>
    <col min="12545" max="12545" width="30.7109375" style="93" customWidth="1"/>
    <col min="12546" max="12546" width="30.140625" style="93" customWidth="1"/>
    <col min="12547" max="12547" width="52.85546875" style="93" customWidth="1"/>
    <col min="12548" max="12548" width="13" style="93" customWidth="1"/>
    <col min="12549" max="12549" width="15.42578125" style="93" customWidth="1"/>
    <col min="12550" max="12550" width="16.7109375" style="93" customWidth="1"/>
    <col min="12551" max="12800" width="9.140625" style="93"/>
    <col min="12801" max="12801" width="30.7109375" style="93" customWidth="1"/>
    <col min="12802" max="12802" width="30.140625" style="93" customWidth="1"/>
    <col min="12803" max="12803" width="52.85546875" style="93" customWidth="1"/>
    <col min="12804" max="12804" width="13" style="93" customWidth="1"/>
    <col min="12805" max="12805" width="15.42578125" style="93" customWidth="1"/>
    <col min="12806" max="12806" width="16.7109375" style="93" customWidth="1"/>
    <col min="12807" max="13056" width="9.140625" style="93"/>
    <col min="13057" max="13057" width="30.7109375" style="93" customWidth="1"/>
    <col min="13058" max="13058" width="30.140625" style="93" customWidth="1"/>
    <col min="13059" max="13059" width="52.85546875" style="93" customWidth="1"/>
    <col min="13060" max="13060" width="13" style="93" customWidth="1"/>
    <col min="13061" max="13061" width="15.42578125" style="93" customWidth="1"/>
    <col min="13062" max="13062" width="16.7109375" style="93" customWidth="1"/>
    <col min="13063" max="13312" width="9.140625" style="93"/>
    <col min="13313" max="13313" width="30.7109375" style="93" customWidth="1"/>
    <col min="13314" max="13314" width="30.140625" style="93" customWidth="1"/>
    <col min="13315" max="13315" width="52.85546875" style="93" customWidth="1"/>
    <col min="13316" max="13316" width="13" style="93" customWidth="1"/>
    <col min="13317" max="13317" width="15.42578125" style="93" customWidth="1"/>
    <col min="13318" max="13318" width="16.7109375" style="93" customWidth="1"/>
    <col min="13319" max="13568" width="9.140625" style="93"/>
    <col min="13569" max="13569" width="30.7109375" style="93" customWidth="1"/>
    <col min="13570" max="13570" width="30.140625" style="93" customWidth="1"/>
    <col min="13571" max="13571" width="52.85546875" style="93" customWidth="1"/>
    <col min="13572" max="13572" width="13" style="93" customWidth="1"/>
    <col min="13573" max="13573" width="15.42578125" style="93" customWidth="1"/>
    <col min="13574" max="13574" width="16.7109375" style="93" customWidth="1"/>
    <col min="13575" max="13824" width="9.140625" style="93"/>
    <col min="13825" max="13825" width="30.7109375" style="93" customWidth="1"/>
    <col min="13826" max="13826" width="30.140625" style="93" customWidth="1"/>
    <col min="13827" max="13827" width="52.85546875" style="93" customWidth="1"/>
    <col min="13828" max="13828" width="13" style="93" customWidth="1"/>
    <col min="13829" max="13829" width="15.42578125" style="93" customWidth="1"/>
    <col min="13830" max="13830" width="16.7109375" style="93" customWidth="1"/>
    <col min="13831" max="14080" width="9.140625" style="93"/>
    <col min="14081" max="14081" width="30.7109375" style="93" customWidth="1"/>
    <col min="14082" max="14082" width="30.140625" style="93" customWidth="1"/>
    <col min="14083" max="14083" width="52.85546875" style="93" customWidth="1"/>
    <col min="14084" max="14084" width="13" style="93" customWidth="1"/>
    <col min="14085" max="14085" width="15.42578125" style="93" customWidth="1"/>
    <col min="14086" max="14086" width="16.7109375" style="93" customWidth="1"/>
    <col min="14087" max="14336" width="9.140625" style="93"/>
    <col min="14337" max="14337" width="30.7109375" style="93" customWidth="1"/>
    <col min="14338" max="14338" width="30.140625" style="93" customWidth="1"/>
    <col min="14339" max="14339" width="52.85546875" style="93" customWidth="1"/>
    <col min="14340" max="14340" width="13" style="93" customWidth="1"/>
    <col min="14341" max="14341" width="15.42578125" style="93" customWidth="1"/>
    <col min="14342" max="14342" width="16.7109375" style="93" customWidth="1"/>
    <col min="14343" max="14592" width="9.140625" style="93"/>
    <col min="14593" max="14593" width="30.7109375" style="93" customWidth="1"/>
    <col min="14594" max="14594" width="30.140625" style="93" customWidth="1"/>
    <col min="14595" max="14595" width="52.85546875" style="93" customWidth="1"/>
    <col min="14596" max="14596" width="13" style="93" customWidth="1"/>
    <col min="14597" max="14597" width="15.42578125" style="93" customWidth="1"/>
    <col min="14598" max="14598" width="16.7109375" style="93" customWidth="1"/>
    <col min="14599" max="14848" width="9.140625" style="93"/>
    <col min="14849" max="14849" width="30.7109375" style="93" customWidth="1"/>
    <col min="14850" max="14850" width="30.140625" style="93" customWidth="1"/>
    <col min="14851" max="14851" width="52.85546875" style="93" customWidth="1"/>
    <col min="14852" max="14852" width="13" style="93" customWidth="1"/>
    <col min="14853" max="14853" width="15.42578125" style="93" customWidth="1"/>
    <col min="14854" max="14854" width="16.7109375" style="93" customWidth="1"/>
    <col min="14855" max="15104" width="9.140625" style="93"/>
    <col min="15105" max="15105" width="30.7109375" style="93" customWidth="1"/>
    <col min="15106" max="15106" width="30.140625" style="93" customWidth="1"/>
    <col min="15107" max="15107" width="52.85546875" style="93" customWidth="1"/>
    <col min="15108" max="15108" width="13" style="93" customWidth="1"/>
    <col min="15109" max="15109" width="15.42578125" style="93" customWidth="1"/>
    <col min="15110" max="15110" width="16.7109375" style="93" customWidth="1"/>
    <col min="15111" max="15360" width="9.140625" style="93"/>
    <col min="15361" max="15361" width="30.7109375" style="93" customWidth="1"/>
    <col min="15362" max="15362" width="30.140625" style="93" customWidth="1"/>
    <col min="15363" max="15363" width="52.85546875" style="93" customWidth="1"/>
    <col min="15364" max="15364" width="13" style="93" customWidth="1"/>
    <col min="15365" max="15365" width="15.42578125" style="93" customWidth="1"/>
    <col min="15366" max="15366" width="16.7109375" style="93" customWidth="1"/>
    <col min="15367" max="15616" width="9.140625" style="93"/>
    <col min="15617" max="15617" width="30.7109375" style="93" customWidth="1"/>
    <col min="15618" max="15618" width="30.140625" style="93" customWidth="1"/>
    <col min="15619" max="15619" width="52.85546875" style="93" customWidth="1"/>
    <col min="15620" max="15620" width="13" style="93" customWidth="1"/>
    <col min="15621" max="15621" width="15.42578125" style="93" customWidth="1"/>
    <col min="15622" max="15622" width="16.7109375" style="93" customWidth="1"/>
    <col min="15623" max="15872" width="9.140625" style="93"/>
    <col min="15873" max="15873" width="30.7109375" style="93" customWidth="1"/>
    <col min="15874" max="15874" width="30.140625" style="93" customWidth="1"/>
    <col min="15875" max="15875" width="52.85546875" style="93" customWidth="1"/>
    <col min="15876" max="15876" width="13" style="93" customWidth="1"/>
    <col min="15877" max="15877" width="15.42578125" style="93" customWidth="1"/>
    <col min="15878" max="15878" width="16.7109375" style="93" customWidth="1"/>
    <col min="15879" max="16128" width="9.140625" style="93"/>
    <col min="16129" max="16129" width="30.7109375" style="93" customWidth="1"/>
    <col min="16130" max="16130" width="30.140625" style="93" customWidth="1"/>
    <col min="16131" max="16131" width="52.85546875" style="93" customWidth="1"/>
    <col min="16132" max="16132" width="13" style="93" customWidth="1"/>
    <col min="16133" max="16133" width="15.42578125" style="93" customWidth="1"/>
    <col min="16134" max="16134" width="16.7109375" style="93" customWidth="1"/>
    <col min="16135" max="16384" width="9.140625" style="93"/>
  </cols>
  <sheetData>
    <row r="1" spans="1:6" s="87" customFormat="1" ht="36" x14ac:dyDescent="0.2">
      <c r="A1" s="83" t="s">
        <v>859</v>
      </c>
      <c r="B1" s="83" t="s">
        <v>860</v>
      </c>
      <c r="C1" s="84" t="s">
        <v>861</v>
      </c>
      <c r="D1" s="84" t="s">
        <v>19</v>
      </c>
      <c r="E1" s="85" t="s">
        <v>519</v>
      </c>
      <c r="F1" s="86" t="s">
        <v>862</v>
      </c>
    </row>
    <row r="2" spans="1:6" ht="20.100000000000001" customHeight="1" x14ac:dyDescent="0.2">
      <c r="A2" s="88" t="s">
        <v>749</v>
      </c>
      <c r="B2" s="88" t="s">
        <v>863</v>
      </c>
      <c r="C2" s="89" t="s">
        <v>864</v>
      </c>
      <c r="D2" s="90" t="s">
        <v>865</v>
      </c>
      <c r="E2" s="91">
        <v>944</v>
      </c>
      <c r="F2" s="92" t="s">
        <v>866</v>
      </c>
    </row>
    <row r="3" spans="1:6" ht="24" x14ac:dyDescent="0.2">
      <c r="A3" s="88" t="s">
        <v>749</v>
      </c>
      <c r="B3" s="88" t="s">
        <v>863</v>
      </c>
      <c r="C3" s="89" t="s">
        <v>867</v>
      </c>
      <c r="D3" s="90" t="s">
        <v>865</v>
      </c>
      <c r="E3" s="91">
        <v>590</v>
      </c>
      <c r="F3" s="92" t="s">
        <v>866</v>
      </c>
    </row>
    <row r="4" spans="1:6" ht="36" x14ac:dyDescent="0.2">
      <c r="A4" s="94" t="s">
        <v>742</v>
      </c>
      <c r="B4" s="94" t="s">
        <v>868</v>
      </c>
      <c r="C4" s="94" t="s">
        <v>869</v>
      </c>
      <c r="D4" s="95" t="s">
        <v>865</v>
      </c>
      <c r="E4" s="96">
        <v>5000.5</v>
      </c>
      <c r="F4" s="97" t="s">
        <v>870</v>
      </c>
    </row>
    <row r="5" spans="1:6" ht="36" x14ac:dyDescent="0.2">
      <c r="A5" s="94" t="s">
        <v>742</v>
      </c>
      <c r="B5" s="94" t="s">
        <v>868</v>
      </c>
      <c r="C5" s="94" t="s">
        <v>871</v>
      </c>
      <c r="D5" s="95" t="s">
        <v>865</v>
      </c>
      <c r="E5" s="96">
        <v>10133.5</v>
      </c>
      <c r="F5" s="97" t="s">
        <v>870</v>
      </c>
    </row>
    <row r="6" spans="1:6" ht="36" x14ac:dyDescent="0.2">
      <c r="A6" s="94" t="s">
        <v>742</v>
      </c>
      <c r="B6" s="94" t="s">
        <v>868</v>
      </c>
      <c r="C6" s="94" t="s">
        <v>872</v>
      </c>
      <c r="D6" s="95" t="s">
        <v>865</v>
      </c>
      <c r="E6" s="96">
        <v>25488</v>
      </c>
      <c r="F6" s="97" t="s">
        <v>870</v>
      </c>
    </row>
    <row r="7" spans="1:6" ht="36" x14ac:dyDescent="0.2">
      <c r="A7" s="94" t="s">
        <v>742</v>
      </c>
      <c r="B7" s="94" t="s">
        <v>868</v>
      </c>
      <c r="C7" s="94" t="s">
        <v>873</v>
      </c>
      <c r="D7" s="95" t="s">
        <v>865</v>
      </c>
      <c r="E7" s="96">
        <v>61419</v>
      </c>
      <c r="F7" s="97" t="s">
        <v>870</v>
      </c>
    </row>
    <row r="8" spans="1:6" ht="21.95" customHeight="1" x14ac:dyDescent="0.2">
      <c r="A8" s="94" t="s">
        <v>742</v>
      </c>
      <c r="B8" s="94" t="s">
        <v>868</v>
      </c>
      <c r="C8" s="94" t="s">
        <v>874</v>
      </c>
      <c r="D8" s="95" t="s">
        <v>865</v>
      </c>
      <c r="E8" s="96">
        <v>33435.300000000003</v>
      </c>
      <c r="F8" s="97" t="s">
        <v>870</v>
      </c>
    </row>
    <row r="9" spans="1:6" ht="17.100000000000001" customHeight="1" x14ac:dyDescent="0.2">
      <c r="A9" s="94" t="s">
        <v>742</v>
      </c>
      <c r="B9" s="94" t="s">
        <v>868</v>
      </c>
      <c r="C9" s="94" t="s">
        <v>875</v>
      </c>
      <c r="D9" s="95" t="s">
        <v>865</v>
      </c>
      <c r="E9" s="96">
        <v>9410.5</v>
      </c>
      <c r="F9" s="97" t="s">
        <v>870</v>
      </c>
    </row>
    <row r="10" spans="1:6" ht="18.95" customHeight="1" x14ac:dyDescent="0.2">
      <c r="A10" s="94" t="s">
        <v>742</v>
      </c>
      <c r="B10" s="94" t="s">
        <v>868</v>
      </c>
      <c r="C10" s="94" t="s">
        <v>876</v>
      </c>
      <c r="D10" s="95" t="s">
        <v>865</v>
      </c>
      <c r="E10" s="96">
        <v>5929.5</v>
      </c>
      <c r="F10" s="97" t="s">
        <v>870</v>
      </c>
    </row>
    <row r="11" spans="1:6" ht="17.100000000000001" customHeight="1" x14ac:dyDescent="0.2">
      <c r="A11" s="94" t="s">
        <v>742</v>
      </c>
      <c r="B11" s="94" t="s">
        <v>868</v>
      </c>
      <c r="C11" s="94" t="s">
        <v>877</v>
      </c>
      <c r="D11" s="95" t="s">
        <v>865</v>
      </c>
      <c r="E11" s="96">
        <v>65844</v>
      </c>
      <c r="F11" s="97" t="s">
        <v>870</v>
      </c>
    </row>
    <row r="12" spans="1:6" ht="18" customHeight="1" x14ac:dyDescent="0.2">
      <c r="A12" s="94" t="s">
        <v>742</v>
      </c>
      <c r="B12" s="94" t="s">
        <v>868</v>
      </c>
      <c r="C12" s="94" t="s">
        <v>878</v>
      </c>
      <c r="D12" s="95" t="s">
        <v>865</v>
      </c>
      <c r="E12" s="96">
        <v>29393.8</v>
      </c>
      <c r="F12" s="97" t="s">
        <v>870</v>
      </c>
    </row>
    <row r="13" spans="1:6" ht="18" customHeight="1" x14ac:dyDescent="0.2">
      <c r="A13" s="94" t="s">
        <v>742</v>
      </c>
      <c r="B13" s="94" t="s">
        <v>868</v>
      </c>
      <c r="C13" s="94" t="s">
        <v>879</v>
      </c>
      <c r="D13" s="95" t="s">
        <v>865</v>
      </c>
      <c r="E13" s="96">
        <v>27193.1</v>
      </c>
      <c r="F13" s="97" t="s">
        <v>870</v>
      </c>
    </row>
    <row r="14" spans="1:6" ht="48" x14ac:dyDescent="0.2">
      <c r="A14" s="94" t="s">
        <v>742</v>
      </c>
      <c r="B14" s="94" t="s">
        <v>868</v>
      </c>
      <c r="C14" s="94" t="s">
        <v>880</v>
      </c>
      <c r="D14" s="95" t="s">
        <v>865</v>
      </c>
      <c r="E14" s="96">
        <v>50380.1</v>
      </c>
      <c r="F14" s="97" t="s">
        <v>870</v>
      </c>
    </row>
    <row r="15" spans="1:6" ht="48" x14ac:dyDescent="0.2">
      <c r="A15" s="94" t="s">
        <v>742</v>
      </c>
      <c r="B15" s="94" t="s">
        <v>868</v>
      </c>
      <c r="C15" s="94" t="s">
        <v>881</v>
      </c>
      <c r="D15" s="95" t="s">
        <v>865</v>
      </c>
      <c r="E15" s="96">
        <v>29323</v>
      </c>
      <c r="F15" s="97" t="s">
        <v>870</v>
      </c>
    </row>
    <row r="16" spans="1:6" ht="48" x14ac:dyDescent="0.2">
      <c r="A16" s="94" t="s">
        <v>742</v>
      </c>
      <c r="B16" s="94" t="s">
        <v>868</v>
      </c>
      <c r="C16" s="94" t="s">
        <v>882</v>
      </c>
      <c r="D16" s="95" t="s">
        <v>865</v>
      </c>
      <c r="E16" s="96">
        <v>32833.5</v>
      </c>
      <c r="F16" s="97" t="s">
        <v>870</v>
      </c>
    </row>
    <row r="17" spans="1:6" ht="48" x14ac:dyDescent="0.2">
      <c r="A17" s="94" t="s">
        <v>742</v>
      </c>
      <c r="B17" s="94" t="s">
        <v>868</v>
      </c>
      <c r="C17" s="94" t="s">
        <v>883</v>
      </c>
      <c r="D17" s="95" t="s">
        <v>865</v>
      </c>
      <c r="E17" s="96">
        <v>12537.5</v>
      </c>
      <c r="F17" s="97" t="s">
        <v>870</v>
      </c>
    </row>
    <row r="18" spans="1:6" ht="48" x14ac:dyDescent="0.2">
      <c r="A18" s="94" t="s">
        <v>742</v>
      </c>
      <c r="B18" s="94" t="s">
        <v>868</v>
      </c>
      <c r="C18" s="94" t="s">
        <v>884</v>
      </c>
      <c r="D18" s="95" t="s">
        <v>865</v>
      </c>
      <c r="E18" s="96">
        <v>12626</v>
      </c>
      <c r="F18" s="97" t="s">
        <v>870</v>
      </c>
    </row>
    <row r="19" spans="1:6" ht="48" x14ac:dyDescent="0.2">
      <c r="A19" s="94" t="s">
        <v>742</v>
      </c>
      <c r="B19" s="94" t="s">
        <v>868</v>
      </c>
      <c r="C19" s="94" t="s">
        <v>885</v>
      </c>
      <c r="D19" s="95" t="s">
        <v>865</v>
      </c>
      <c r="E19" s="96">
        <v>95892.7</v>
      </c>
      <c r="F19" s="97" t="s">
        <v>870</v>
      </c>
    </row>
    <row r="20" spans="1:6" ht="22.5" customHeight="1" x14ac:dyDescent="0.2">
      <c r="A20" s="94" t="s">
        <v>742</v>
      </c>
      <c r="B20" s="94" t="s">
        <v>868</v>
      </c>
      <c r="C20" s="94" t="s">
        <v>886</v>
      </c>
      <c r="D20" s="95" t="s">
        <v>865</v>
      </c>
      <c r="E20" s="96">
        <v>19706</v>
      </c>
      <c r="F20" s="97" t="s">
        <v>870</v>
      </c>
    </row>
    <row r="21" spans="1:6" ht="22.5" customHeight="1" x14ac:dyDescent="0.2">
      <c r="A21" s="94" t="s">
        <v>742</v>
      </c>
      <c r="B21" s="94" t="s">
        <v>868</v>
      </c>
      <c r="C21" s="94" t="s">
        <v>887</v>
      </c>
      <c r="D21" s="95" t="s">
        <v>865</v>
      </c>
      <c r="E21" s="96">
        <v>30975</v>
      </c>
      <c r="F21" s="97" t="s">
        <v>870</v>
      </c>
    </row>
    <row r="22" spans="1:6" ht="24" x14ac:dyDescent="0.2">
      <c r="A22" s="94" t="s">
        <v>742</v>
      </c>
      <c r="B22" s="94" t="s">
        <v>868</v>
      </c>
      <c r="C22" s="94" t="s">
        <v>888</v>
      </c>
      <c r="D22" s="95" t="s">
        <v>865</v>
      </c>
      <c r="E22" s="96">
        <v>15251.5</v>
      </c>
      <c r="F22" s="97" t="s">
        <v>870</v>
      </c>
    </row>
    <row r="23" spans="1:6" ht="24" x14ac:dyDescent="0.2">
      <c r="A23" s="94" t="s">
        <v>742</v>
      </c>
      <c r="B23" s="94" t="s">
        <v>868</v>
      </c>
      <c r="C23" s="94" t="s">
        <v>889</v>
      </c>
      <c r="D23" s="95" t="s">
        <v>865</v>
      </c>
      <c r="E23" s="96">
        <v>24225.4</v>
      </c>
      <c r="F23" s="97" t="s">
        <v>870</v>
      </c>
    </row>
    <row r="24" spans="1:6" ht="22.5" customHeight="1" x14ac:dyDescent="0.2">
      <c r="A24" s="98" t="s">
        <v>764</v>
      </c>
      <c r="B24" s="98" t="s">
        <v>890</v>
      </c>
      <c r="C24" s="99" t="s">
        <v>891</v>
      </c>
      <c r="D24" s="100" t="s">
        <v>892</v>
      </c>
      <c r="E24" s="101">
        <v>1003</v>
      </c>
      <c r="F24" s="102" t="s">
        <v>893</v>
      </c>
    </row>
    <row r="25" spans="1:6" x14ac:dyDescent="0.2">
      <c r="A25" s="98" t="s">
        <v>764</v>
      </c>
      <c r="B25" s="98" t="s">
        <v>890</v>
      </c>
      <c r="C25" s="99" t="s">
        <v>894</v>
      </c>
      <c r="D25" s="100" t="s">
        <v>892</v>
      </c>
      <c r="E25" s="101">
        <v>1003</v>
      </c>
      <c r="F25" s="102" t="s">
        <v>893</v>
      </c>
    </row>
    <row r="26" spans="1:6" ht="24" customHeight="1" x14ac:dyDescent="0.2">
      <c r="A26" s="98" t="s">
        <v>764</v>
      </c>
      <c r="B26" s="98" t="s">
        <v>890</v>
      </c>
      <c r="C26" s="99" t="s">
        <v>895</v>
      </c>
      <c r="D26" s="100" t="s">
        <v>892</v>
      </c>
      <c r="E26" s="101">
        <v>3009</v>
      </c>
      <c r="F26" s="102" t="s">
        <v>893</v>
      </c>
    </row>
    <row r="27" spans="1:6" x14ac:dyDescent="0.2">
      <c r="A27" s="98" t="s">
        <v>764</v>
      </c>
      <c r="B27" s="98" t="s">
        <v>890</v>
      </c>
      <c r="C27" s="99" t="s">
        <v>896</v>
      </c>
      <c r="D27" s="100" t="s">
        <v>892</v>
      </c>
      <c r="E27" s="101">
        <v>1882.1</v>
      </c>
      <c r="F27" s="102" t="s">
        <v>893</v>
      </c>
    </row>
    <row r="28" spans="1:6" x14ac:dyDescent="0.2">
      <c r="A28" s="98" t="s">
        <v>764</v>
      </c>
      <c r="B28" s="98" t="s">
        <v>890</v>
      </c>
      <c r="C28" s="99" t="s">
        <v>897</v>
      </c>
      <c r="D28" s="100" t="s">
        <v>865</v>
      </c>
      <c r="E28" s="101">
        <v>83.78</v>
      </c>
      <c r="F28" s="102" t="s">
        <v>893</v>
      </c>
    </row>
    <row r="29" spans="1:6" x14ac:dyDescent="0.2">
      <c r="A29" s="98" t="s">
        <v>764</v>
      </c>
      <c r="B29" s="98" t="s">
        <v>890</v>
      </c>
      <c r="C29" s="99" t="s">
        <v>898</v>
      </c>
      <c r="D29" s="100" t="s">
        <v>865</v>
      </c>
      <c r="E29" s="101">
        <v>192.34</v>
      </c>
      <c r="F29" s="102" t="s">
        <v>893</v>
      </c>
    </row>
    <row r="30" spans="1:6" x14ac:dyDescent="0.2">
      <c r="A30" s="98" t="s">
        <v>764</v>
      </c>
      <c r="B30" s="98" t="s">
        <v>890</v>
      </c>
      <c r="C30" s="99" t="s">
        <v>899</v>
      </c>
      <c r="D30" s="100" t="s">
        <v>865</v>
      </c>
      <c r="E30" s="101">
        <v>421.26</v>
      </c>
      <c r="F30" s="102" t="s">
        <v>893</v>
      </c>
    </row>
    <row r="31" spans="1:6" x14ac:dyDescent="0.2">
      <c r="A31" s="103" t="s">
        <v>900</v>
      </c>
      <c r="B31" s="103" t="s">
        <v>901</v>
      </c>
      <c r="C31" s="104" t="s">
        <v>902</v>
      </c>
      <c r="D31" s="105" t="s">
        <v>865</v>
      </c>
      <c r="E31" s="106">
        <v>6500</v>
      </c>
      <c r="F31" s="107" t="s">
        <v>903</v>
      </c>
    </row>
    <row r="32" spans="1:6" x14ac:dyDescent="0.2">
      <c r="A32" s="103" t="s">
        <v>900</v>
      </c>
      <c r="B32" s="103" t="s">
        <v>901</v>
      </c>
      <c r="C32" s="104" t="s">
        <v>904</v>
      </c>
      <c r="D32" s="105" t="s">
        <v>865</v>
      </c>
      <c r="E32" s="106">
        <v>7265.26</v>
      </c>
      <c r="F32" s="107" t="s">
        <v>903</v>
      </c>
    </row>
    <row r="33" spans="1:6" x14ac:dyDescent="0.2">
      <c r="A33" s="103" t="s">
        <v>900</v>
      </c>
      <c r="B33" s="103" t="s">
        <v>901</v>
      </c>
      <c r="C33" s="104" t="s">
        <v>905</v>
      </c>
      <c r="D33" s="105" t="s">
        <v>865</v>
      </c>
      <c r="E33" s="106">
        <v>4675.2539999999999</v>
      </c>
      <c r="F33" s="107" t="s">
        <v>903</v>
      </c>
    </row>
    <row r="34" spans="1:6" x14ac:dyDescent="0.2">
      <c r="A34" s="103" t="s">
        <v>900</v>
      </c>
      <c r="B34" s="103" t="s">
        <v>901</v>
      </c>
      <c r="C34" s="104" t="s">
        <v>906</v>
      </c>
      <c r="D34" s="105" t="s">
        <v>865</v>
      </c>
      <c r="E34" s="106">
        <v>16785.5</v>
      </c>
      <c r="F34" s="107" t="s">
        <v>903</v>
      </c>
    </row>
    <row r="35" spans="1:6" x14ac:dyDescent="0.2">
      <c r="A35" s="103" t="s">
        <v>900</v>
      </c>
      <c r="B35" s="103" t="s">
        <v>901</v>
      </c>
      <c r="C35" s="104" t="s">
        <v>907</v>
      </c>
      <c r="D35" s="105" t="s">
        <v>865</v>
      </c>
      <c r="E35" s="106">
        <v>15163</v>
      </c>
      <c r="F35" s="107" t="s">
        <v>903</v>
      </c>
    </row>
    <row r="36" spans="1:6" x14ac:dyDescent="0.2">
      <c r="A36" s="108" t="s">
        <v>838</v>
      </c>
      <c r="B36" s="108" t="s">
        <v>908</v>
      </c>
      <c r="C36" s="109" t="s">
        <v>909</v>
      </c>
      <c r="D36" s="110" t="s">
        <v>865</v>
      </c>
      <c r="E36" s="111">
        <v>2330.5</v>
      </c>
      <c r="F36" s="112" t="s">
        <v>910</v>
      </c>
    </row>
    <row r="37" spans="1:6" x14ac:dyDescent="0.2">
      <c r="A37" s="108" t="s">
        <v>838</v>
      </c>
      <c r="B37" s="108" t="s">
        <v>908</v>
      </c>
      <c r="C37" s="109" t="s">
        <v>911</v>
      </c>
      <c r="D37" s="110"/>
      <c r="E37" s="111">
        <v>1150</v>
      </c>
      <c r="F37" s="112" t="s">
        <v>910</v>
      </c>
    </row>
    <row r="38" spans="1:6" ht="24" x14ac:dyDescent="0.2">
      <c r="A38" s="108" t="s">
        <v>838</v>
      </c>
      <c r="B38" s="108" t="s">
        <v>908</v>
      </c>
      <c r="C38" s="109" t="s">
        <v>912</v>
      </c>
      <c r="D38" s="110" t="s">
        <v>865</v>
      </c>
      <c r="E38" s="111">
        <v>2330.5</v>
      </c>
      <c r="F38" s="112" t="s">
        <v>910</v>
      </c>
    </row>
    <row r="39" spans="1:6" ht="36" x14ac:dyDescent="0.2">
      <c r="A39" s="108" t="s">
        <v>838</v>
      </c>
      <c r="B39" s="108" t="s">
        <v>908</v>
      </c>
      <c r="C39" s="109" t="s">
        <v>913</v>
      </c>
      <c r="D39" s="110" t="s">
        <v>865</v>
      </c>
      <c r="E39" s="111">
        <v>3009</v>
      </c>
      <c r="F39" s="112" t="s">
        <v>910</v>
      </c>
    </row>
    <row r="40" spans="1:6" ht="36" x14ac:dyDescent="0.2">
      <c r="A40" s="108" t="s">
        <v>838</v>
      </c>
      <c r="B40" s="108" t="s">
        <v>908</v>
      </c>
      <c r="C40" s="109" t="s">
        <v>914</v>
      </c>
      <c r="D40" s="110" t="s">
        <v>865</v>
      </c>
      <c r="E40" s="111">
        <v>1150.5</v>
      </c>
      <c r="F40" s="112" t="s">
        <v>910</v>
      </c>
    </row>
    <row r="41" spans="1:6" ht="36" x14ac:dyDescent="0.2">
      <c r="A41" s="108" t="s">
        <v>838</v>
      </c>
      <c r="B41" s="108" t="s">
        <v>908</v>
      </c>
      <c r="C41" s="109" t="s">
        <v>915</v>
      </c>
      <c r="D41" s="110" t="s">
        <v>865</v>
      </c>
      <c r="E41" s="111">
        <v>1150.5</v>
      </c>
      <c r="F41" s="112" t="s">
        <v>910</v>
      </c>
    </row>
    <row r="42" spans="1:6" ht="24" x14ac:dyDescent="0.2">
      <c r="A42" s="108" t="s">
        <v>838</v>
      </c>
      <c r="B42" s="108" t="s">
        <v>908</v>
      </c>
      <c r="C42" s="109" t="s">
        <v>916</v>
      </c>
      <c r="D42" s="110" t="s">
        <v>865</v>
      </c>
      <c r="E42" s="111">
        <v>1947</v>
      </c>
      <c r="F42" s="112" t="s">
        <v>910</v>
      </c>
    </row>
    <row r="43" spans="1:6" ht="22.5" customHeight="1" x14ac:dyDescent="0.2">
      <c r="A43" s="108" t="s">
        <v>838</v>
      </c>
      <c r="B43" s="108" t="s">
        <v>908</v>
      </c>
      <c r="C43" s="109" t="s">
        <v>917</v>
      </c>
      <c r="D43" s="110" t="s">
        <v>865</v>
      </c>
      <c r="E43" s="111">
        <v>2212.5</v>
      </c>
      <c r="F43" s="112" t="s">
        <v>910</v>
      </c>
    </row>
    <row r="44" spans="1:6" ht="18.95" customHeight="1" x14ac:dyDescent="0.2">
      <c r="A44" s="113" t="s">
        <v>918</v>
      </c>
      <c r="B44" s="113" t="s">
        <v>919</v>
      </c>
      <c r="C44" s="114" t="s">
        <v>920</v>
      </c>
      <c r="D44" s="115" t="s">
        <v>865</v>
      </c>
      <c r="E44" s="116">
        <v>11210</v>
      </c>
      <c r="F44" s="117" t="s">
        <v>921</v>
      </c>
    </row>
    <row r="45" spans="1:6" ht="17.100000000000001" customHeight="1" x14ac:dyDescent="0.2">
      <c r="A45" s="113" t="s">
        <v>918</v>
      </c>
      <c r="B45" s="113" t="s">
        <v>919</v>
      </c>
      <c r="C45" s="114" t="s">
        <v>922</v>
      </c>
      <c r="D45" s="115" t="s">
        <v>865</v>
      </c>
      <c r="E45" s="116">
        <v>15692.82</v>
      </c>
      <c r="F45" s="117" t="s">
        <v>921</v>
      </c>
    </row>
    <row r="46" spans="1:6" x14ac:dyDescent="0.2">
      <c r="A46" s="113" t="s">
        <v>918</v>
      </c>
      <c r="B46" s="113" t="s">
        <v>919</v>
      </c>
      <c r="C46" s="114" t="s">
        <v>923</v>
      </c>
      <c r="D46" s="115" t="s">
        <v>865</v>
      </c>
      <c r="E46" s="116">
        <v>342200</v>
      </c>
      <c r="F46" s="117" t="s">
        <v>921</v>
      </c>
    </row>
    <row r="47" spans="1:6" ht="21" customHeight="1" x14ac:dyDescent="0.2">
      <c r="A47" s="113" t="s">
        <v>918</v>
      </c>
      <c r="B47" s="113" t="s">
        <v>919</v>
      </c>
      <c r="C47" s="114" t="s">
        <v>924</v>
      </c>
      <c r="D47" s="115" t="s">
        <v>865</v>
      </c>
      <c r="E47" s="116">
        <v>6254</v>
      </c>
      <c r="F47" s="117" t="s">
        <v>921</v>
      </c>
    </row>
    <row r="48" spans="1:6" ht="14.1" customHeight="1" x14ac:dyDescent="0.2">
      <c r="A48" s="113" t="s">
        <v>918</v>
      </c>
      <c r="B48" s="113" t="s">
        <v>919</v>
      </c>
      <c r="C48" s="114" t="s">
        <v>925</v>
      </c>
      <c r="D48" s="115" t="s">
        <v>865</v>
      </c>
      <c r="E48" s="116">
        <v>531000</v>
      </c>
      <c r="F48" s="117" t="s">
        <v>921</v>
      </c>
    </row>
    <row r="49" spans="1:6" ht="24" x14ac:dyDescent="0.2">
      <c r="A49" s="113" t="s">
        <v>918</v>
      </c>
      <c r="B49" s="113" t="s">
        <v>919</v>
      </c>
      <c r="C49" s="114" t="s">
        <v>926</v>
      </c>
      <c r="D49" s="115" t="s">
        <v>865</v>
      </c>
      <c r="E49" s="116">
        <v>49794.525000000001</v>
      </c>
      <c r="F49" s="117" t="s">
        <v>921</v>
      </c>
    </row>
    <row r="50" spans="1:6" x14ac:dyDescent="0.2">
      <c r="A50" s="113" t="s">
        <v>918</v>
      </c>
      <c r="B50" s="113" t="s">
        <v>919</v>
      </c>
      <c r="C50" s="114" t="s">
        <v>927</v>
      </c>
      <c r="D50" s="115" t="s">
        <v>865</v>
      </c>
      <c r="E50" s="116">
        <v>275000</v>
      </c>
      <c r="F50" s="117" t="s">
        <v>921</v>
      </c>
    </row>
    <row r="51" spans="1:6" ht="24" x14ac:dyDescent="0.2">
      <c r="A51" s="113" t="s">
        <v>918</v>
      </c>
      <c r="B51" s="113" t="s">
        <v>919</v>
      </c>
      <c r="C51" s="114" t="s">
        <v>928</v>
      </c>
      <c r="D51" s="115" t="s">
        <v>865</v>
      </c>
      <c r="E51" s="116">
        <v>8407.5</v>
      </c>
      <c r="F51" s="117" t="s">
        <v>921</v>
      </c>
    </row>
    <row r="52" spans="1:6" ht="15.95" customHeight="1" x14ac:dyDescent="0.2">
      <c r="A52" s="113" t="s">
        <v>918</v>
      </c>
      <c r="B52" s="113" t="s">
        <v>919</v>
      </c>
      <c r="C52" s="114" t="s">
        <v>929</v>
      </c>
      <c r="D52" s="115" t="s">
        <v>865</v>
      </c>
      <c r="E52" s="116">
        <v>96885.151100000003</v>
      </c>
      <c r="F52" s="117" t="s">
        <v>921</v>
      </c>
    </row>
    <row r="53" spans="1:6" ht="15" customHeight="1" x14ac:dyDescent="0.2">
      <c r="A53" s="113" t="s">
        <v>918</v>
      </c>
      <c r="B53" s="113" t="s">
        <v>919</v>
      </c>
      <c r="C53" s="114" t="s">
        <v>930</v>
      </c>
      <c r="D53" s="115" t="s">
        <v>865</v>
      </c>
      <c r="E53" s="116">
        <v>250160</v>
      </c>
      <c r="F53" s="117" t="s">
        <v>921</v>
      </c>
    </row>
    <row r="54" spans="1:6" ht="24" x14ac:dyDescent="0.2">
      <c r="A54" s="113" t="s">
        <v>918</v>
      </c>
      <c r="B54" s="113" t="s">
        <v>919</v>
      </c>
      <c r="C54" s="114" t="s">
        <v>931</v>
      </c>
      <c r="D54" s="115" t="s">
        <v>865</v>
      </c>
      <c r="E54" s="116">
        <v>2950</v>
      </c>
      <c r="F54" s="117" t="s">
        <v>921</v>
      </c>
    </row>
    <row r="55" spans="1:6" ht="14.1" customHeight="1" x14ac:dyDescent="0.2">
      <c r="A55" s="113" t="s">
        <v>918</v>
      </c>
      <c r="B55" s="113" t="s">
        <v>919</v>
      </c>
      <c r="C55" s="114" t="s">
        <v>932</v>
      </c>
      <c r="D55" s="115" t="s">
        <v>865</v>
      </c>
      <c r="E55" s="116">
        <v>226560</v>
      </c>
      <c r="F55" s="117" t="s">
        <v>921</v>
      </c>
    </row>
    <row r="56" spans="1:6" ht="30.75" customHeight="1" x14ac:dyDescent="0.2">
      <c r="A56" s="113" t="s">
        <v>918</v>
      </c>
      <c r="B56" s="113" t="s">
        <v>919</v>
      </c>
      <c r="C56" s="114" t="s">
        <v>933</v>
      </c>
      <c r="D56" s="115" t="s">
        <v>865</v>
      </c>
      <c r="E56" s="116">
        <v>501500</v>
      </c>
      <c r="F56" s="117" t="s">
        <v>921</v>
      </c>
    </row>
    <row r="57" spans="1:6" ht="15" customHeight="1" x14ac:dyDescent="0.2">
      <c r="A57" s="113" t="s">
        <v>918</v>
      </c>
      <c r="B57" s="113" t="s">
        <v>919</v>
      </c>
      <c r="C57" s="114" t="s">
        <v>934</v>
      </c>
      <c r="D57" s="115" t="s">
        <v>865</v>
      </c>
      <c r="E57" s="116">
        <v>41300</v>
      </c>
      <c r="F57" s="117" t="s">
        <v>921</v>
      </c>
    </row>
    <row r="58" spans="1:6" ht="24" customHeight="1" x14ac:dyDescent="0.2">
      <c r="A58" s="113" t="s">
        <v>918</v>
      </c>
      <c r="B58" s="113" t="s">
        <v>919</v>
      </c>
      <c r="C58" s="114" t="s">
        <v>935</v>
      </c>
      <c r="D58" s="115" t="s">
        <v>865</v>
      </c>
      <c r="E58" s="116">
        <v>49560</v>
      </c>
      <c r="F58" s="117" t="s">
        <v>921</v>
      </c>
    </row>
    <row r="59" spans="1:6" ht="14.1" customHeight="1" x14ac:dyDescent="0.2">
      <c r="A59" s="113" t="s">
        <v>918</v>
      </c>
      <c r="B59" s="113" t="s">
        <v>919</v>
      </c>
      <c r="C59" s="114" t="s">
        <v>936</v>
      </c>
      <c r="D59" s="115" t="s">
        <v>865</v>
      </c>
      <c r="E59" s="116">
        <v>188800</v>
      </c>
      <c r="F59" s="117" t="s">
        <v>921</v>
      </c>
    </row>
    <row r="60" spans="1:6" ht="15" customHeight="1" x14ac:dyDescent="0.2">
      <c r="A60" s="113" t="s">
        <v>918</v>
      </c>
      <c r="B60" s="113" t="s">
        <v>919</v>
      </c>
      <c r="C60" s="114" t="s">
        <v>937</v>
      </c>
      <c r="D60" s="115" t="s">
        <v>865</v>
      </c>
      <c r="E60" s="116">
        <v>27140</v>
      </c>
      <c r="F60" s="117" t="s">
        <v>921</v>
      </c>
    </row>
    <row r="61" spans="1:6" ht="15.95" customHeight="1" x14ac:dyDescent="0.2">
      <c r="A61" s="113" t="s">
        <v>918</v>
      </c>
      <c r="B61" s="113" t="s">
        <v>919</v>
      </c>
      <c r="C61" s="114" t="s">
        <v>938</v>
      </c>
      <c r="D61" s="115" t="s">
        <v>865</v>
      </c>
      <c r="E61" s="116">
        <v>49219.1806</v>
      </c>
      <c r="F61" s="117" t="s">
        <v>921</v>
      </c>
    </row>
    <row r="62" spans="1:6" ht="18.95" customHeight="1" x14ac:dyDescent="0.2">
      <c r="A62" s="113" t="s">
        <v>918</v>
      </c>
      <c r="B62" s="113" t="s">
        <v>919</v>
      </c>
      <c r="C62" s="114" t="s">
        <v>939</v>
      </c>
      <c r="D62" s="115" t="s">
        <v>865</v>
      </c>
      <c r="E62" s="116">
        <v>26137.0707</v>
      </c>
      <c r="F62" s="117" t="s">
        <v>921</v>
      </c>
    </row>
    <row r="63" spans="1:6" ht="20.100000000000001" customHeight="1" x14ac:dyDescent="0.2">
      <c r="A63" s="113" t="s">
        <v>918</v>
      </c>
      <c r="B63" s="113" t="s">
        <v>919</v>
      </c>
      <c r="C63" s="114" t="s">
        <v>940</v>
      </c>
      <c r="D63" s="115" t="s">
        <v>865</v>
      </c>
      <c r="E63" s="116">
        <v>105563.74400000001</v>
      </c>
      <c r="F63" s="117" t="s">
        <v>921</v>
      </c>
    </row>
    <row r="64" spans="1:6" ht="18.95" customHeight="1" x14ac:dyDescent="0.2">
      <c r="A64" s="113" t="s">
        <v>918</v>
      </c>
      <c r="B64" s="113" t="s">
        <v>919</v>
      </c>
      <c r="C64" s="114" t="s">
        <v>941</v>
      </c>
      <c r="D64" s="115" t="s">
        <v>865</v>
      </c>
      <c r="E64" s="116">
        <v>6490</v>
      </c>
      <c r="F64" s="117" t="s">
        <v>921</v>
      </c>
    </row>
    <row r="65" spans="1:6" ht="15" customHeight="1" x14ac:dyDescent="0.2">
      <c r="A65" s="113" t="s">
        <v>918</v>
      </c>
      <c r="B65" s="113" t="s">
        <v>919</v>
      </c>
      <c r="C65" s="114" t="s">
        <v>942</v>
      </c>
      <c r="D65" s="115" t="s">
        <v>865</v>
      </c>
      <c r="E65" s="116">
        <v>30335.3338</v>
      </c>
      <c r="F65" s="117" t="s">
        <v>921</v>
      </c>
    </row>
    <row r="66" spans="1:6" ht="24" x14ac:dyDescent="0.2">
      <c r="A66" s="113" t="s">
        <v>918</v>
      </c>
      <c r="B66" s="113" t="s">
        <v>919</v>
      </c>
      <c r="C66" s="114" t="s">
        <v>943</v>
      </c>
      <c r="D66" s="115" t="s">
        <v>865</v>
      </c>
      <c r="E66" s="116">
        <v>72981.654699999999</v>
      </c>
      <c r="F66" s="117" t="s">
        <v>921</v>
      </c>
    </row>
    <row r="67" spans="1:6" x14ac:dyDescent="0.2">
      <c r="A67" s="113" t="s">
        <v>918</v>
      </c>
      <c r="B67" s="113" t="s">
        <v>919</v>
      </c>
      <c r="C67" s="114" t="s">
        <v>944</v>
      </c>
      <c r="D67" s="115" t="s">
        <v>865</v>
      </c>
      <c r="E67" s="116">
        <v>172048.60250000001</v>
      </c>
      <c r="F67" s="117" t="s">
        <v>921</v>
      </c>
    </row>
    <row r="68" spans="1:6" x14ac:dyDescent="0.2">
      <c r="A68" s="113" t="s">
        <v>918</v>
      </c>
      <c r="B68" s="113" t="s">
        <v>919</v>
      </c>
      <c r="C68" s="114" t="s">
        <v>945</v>
      </c>
      <c r="D68" s="115" t="s">
        <v>865</v>
      </c>
      <c r="E68" s="116">
        <v>104465.4</v>
      </c>
      <c r="F68" s="117" t="s">
        <v>921</v>
      </c>
    </row>
    <row r="69" spans="1:6" x14ac:dyDescent="0.2">
      <c r="A69" s="113" t="s">
        <v>918</v>
      </c>
      <c r="B69" s="113" t="s">
        <v>919</v>
      </c>
      <c r="C69" s="114" t="s">
        <v>946</v>
      </c>
      <c r="D69" s="115" t="s">
        <v>865</v>
      </c>
      <c r="E69" s="116">
        <v>8314.2916999999998</v>
      </c>
      <c r="F69" s="117" t="s">
        <v>921</v>
      </c>
    </row>
    <row r="70" spans="1:6" x14ac:dyDescent="0.2">
      <c r="A70" s="113" t="s">
        <v>918</v>
      </c>
      <c r="B70" s="113" t="s">
        <v>919</v>
      </c>
      <c r="C70" s="114" t="s">
        <v>947</v>
      </c>
      <c r="D70" s="115" t="s">
        <v>865</v>
      </c>
      <c r="E70" s="116">
        <v>198806.39999999999</v>
      </c>
      <c r="F70" s="117" t="s">
        <v>921</v>
      </c>
    </row>
    <row r="71" spans="1:6" x14ac:dyDescent="0.2">
      <c r="A71" s="113" t="s">
        <v>918</v>
      </c>
      <c r="B71" s="113" t="s">
        <v>919</v>
      </c>
      <c r="C71" s="114" t="s">
        <v>948</v>
      </c>
      <c r="D71" s="115" t="s">
        <v>865</v>
      </c>
      <c r="E71" s="116">
        <v>11313.84</v>
      </c>
      <c r="F71" s="117" t="s">
        <v>921</v>
      </c>
    </row>
    <row r="72" spans="1:6" x14ac:dyDescent="0.2">
      <c r="A72" s="113" t="s">
        <v>918</v>
      </c>
      <c r="B72" s="113" t="s">
        <v>919</v>
      </c>
      <c r="C72" s="114" t="s">
        <v>949</v>
      </c>
      <c r="D72" s="115" t="s">
        <v>865</v>
      </c>
      <c r="E72" s="116">
        <v>469017.40850000002</v>
      </c>
      <c r="F72" s="117" t="s">
        <v>921</v>
      </c>
    </row>
    <row r="73" spans="1:6" ht="24" x14ac:dyDescent="0.2">
      <c r="A73" s="113" t="s">
        <v>918</v>
      </c>
      <c r="B73" s="113" t="s">
        <v>919</v>
      </c>
      <c r="C73" s="114" t="s">
        <v>950</v>
      </c>
      <c r="D73" s="115" t="s">
        <v>865</v>
      </c>
      <c r="E73" s="116">
        <v>4501.7</v>
      </c>
      <c r="F73" s="117" t="s">
        <v>921</v>
      </c>
    </row>
    <row r="74" spans="1:6" x14ac:dyDescent="0.2">
      <c r="A74" s="113" t="s">
        <v>918</v>
      </c>
      <c r="B74" s="113" t="s">
        <v>919</v>
      </c>
      <c r="C74" s="114" t="s">
        <v>951</v>
      </c>
      <c r="D74" s="115" t="s">
        <v>865</v>
      </c>
      <c r="E74" s="116">
        <v>161582.93400000001</v>
      </c>
      <c r="F74" s="117" t="s">
        <v>921</v>
      </c>
    </row>
    <row r="75" spans="1:6" ht="24" x14ac:dyDescent="0.2">
      <c r="A75" s="113" t="s">
        <v>918</v>
      </c>
      <c r="B75" s="113" t="s">
        <v>919</v>
      </c>
      <c r="C75" s="114" t="s">
        <v>952</v>
      </c>
      <c r="D75" s="115" t="s">
        <v>865</v>
      </c>
      <c r="E75" s="116">
        <v>344224.6911</v>
      </c>
      <c r="F75" s="117" t="s">
        <v>921</v>
      </c>
    </row>
    <row r="76" spans="1:6" x14ac:dyDescent="0.2">
      <c r="A76" s="113" t="s">
        <v>918</v>
      </c>
      <c r="B76" s="113" t="s">
        <v>919</v>
      </c>
      <c r="C76" s="114" t="s">
        <v>953</v>
      </c>
      <c r="D76" s="115" t="s">
        <v>865</v>
      </c>
      <c r="E76" s="116">
        <v>24151.661800000002</v>
      </c>
      <c r="F76" s="117" t="s">
        <v>921</v>
      </c>
    </row>
    <row r="77" spans="1:6" x14ac:dyDescent="0.2">
      <c r="A77" s="113" t="s">
        <v>918</v>
      </c>
      <c r="B77" s="113" t="s">
        <v>919</v>
      </c>
      <c r="C77" s="114" t="s">
        <v>954</v>
      </c>
      <c r="D77" s="115" t="s">
        <v>865</v>
      </c>
      <c r="E77" s="116">
        <v>12836.04</v>
      </c>
      <c r="F77" s="117" t="s">
        <v>921</v>
      </c>
    </row>
    <row r="78" spans="1:6" ht="24" x14ac:dyDescent="0.2">
      <c r="A78" s="113" t="s">
        <v>918</v>
      </c>
      <c r="B78" s="113" t="s">
        <v>919</v>
      </c>
      <c r="C78" s="114" t="s">
        <v>955</v>
      </c>
      <c r="D78" s="115" t="s">
        <v>865</v>
      </c>
      <c r="E78" s="116">
        <v>45994.842499999999</v>
      </c>
      <c r="F78" s="117" t="s">
        <v>921</v>
      </c>
    </row>
    <row r="79" spans="1:6" x14ac:dyDescent="0.2">
      <c r="A79" s="113" t="s">
        <v>918</v>
      </c>
      <c r="B79" s="113" t="s">
        <v>919</v>
      </c>
      <c r="C79" s="114" t="s">
        <v>956</v>
      </c>
      <c r="D79" s="115" t="s">
        <v>865</v>
      </c>
      <c r="E79" s="116">
        <v>111029.4216</v>
      </c>
      <c r="F79" s="117" t="s">
        <v>921</v>
      </c>
    </row>
    <row r="80" spans="1:6" x14ac:dyDescent="0.2">
      <c r="A80" s="113" t="s">
        <v>918</v>
      </c>
      <c r="B80" s="113" t="s">
        <v>919</v>
      </c>
      <c r="C80" s="114" t="s">
        <v>957</v>
      </c>
      <c r="D80" s="115" t="s">
        <v>865</v>
      </c>
      <c r="E80" s="116">
        <v>1770</v>
      </c>
      <c r="F80" s="117" t="s">
        <v>921</v>
      </c>
    </row>
    <row r="81" spans="1:6" ht="24" x14ac:dyDescent="0.2">
      <c r="A81" s="113" t="s">
        <v>918</v>
      </c>
      <c r="B81" s="113" t="s">
        <v>919</v>
      </c>
      <c r="C81" s="114" t="s">
        <v>958</v>
      </c>
      <c r="D81" s="115" t="s">
        <v>865</v>
      </c>
      <c r="E81" s="116">
        <v>4524.9931999999999</v>
      </c>
      <c r="F81" s="117" t="s">
        <v>921</v>
      </c>
    </row>
    <row r="82" spans="1:6" ht="18.75" customHeight="1" x14ac:dyDescent="0.2">
      <c r="A82" s="113" t="s">
        <v>918</v>
      </c>
      <c r="B82" s="113" t="s">
        <v>919</v>
      </c>
      <c r="C82" s="114" t="s">
        <v>959</v>
      </c>
      <c r="D82" s="115" t="s">
        <v>865</v>
      </c>
      <c r="E82" s="116">
        <v>3299.87</v>
      </c>
      <c r="F82" s="117" t="s">
        <v>921</v>
      </c>
    </row>
    <row r="83" spans="1:6" ht="20.25" customHeight="1" x14ac:dyDescent="0.2">
      <c r="A83" s="113" t="s">
        <v>918</v>
      </c>
      <c r="B83" s="113" t="s">
        <v>919</v>
      </c>
      <c r="C83" s="114" t="s">
        <v>960</v>
      </c>
      <c r="D83" s="115" t="s">
        <v>865</v>
      </c>
      <c r="E83" s="116">
        <v>4242.6899999999996</v>
      </c>
      <c r="F83" s="117" t="s">
        <v>921</v>
      </c>
    </row>
    <row r="84" spans="1:6" ht="21.95" customHeight="1" x14ac:dyDescent="0.2">
      <c r="A84" s="113" t="s">
        <v>918</v>
      </c>
      <c r="B84" s="113" t="s">
        <v>919</v>
      </c>
      <c r="C84" s="114" t="s">
        <v>961</v>
      </c>
      <c r="D84" s="115" t="s">
        <v>865</v>
      </c>
      <c r="E84" s="116">
        <v>11859.991</v>
      </c>
      <c r="F84" s="117" t="s">
        <v>921</v>
      </c>
    </row>
    <row r="85" spans="1:6" ht="18" customHeight="1" x14ac:dyDescent="0.2">
      <c r="A85" s="113" t="s">
        <v>918</v>
      </c>
      <c r="B85" s="113" t="s">
        <v>919</v>
      </c>
      <c r="C85" s="114" t="s">
        <v>962</v>
      </c>
      <c r="D85" s="115" t="s">
        <v>865</v>
      </c>
      <c r="E85" s="116">
        <v>1479.9914000000001</v>
      </c>
      <c r="F85" s="117" t="s">
        <v>921</v>
      </c>
    </row>
    <row r="86" spans="1:6" ht="24" x14ac:dyDescent="0.2">
      <c r="A86" s="113" t="s">
        <v>918</v>
      </c>
      <c r="B86" s="113" t="s">
        <v>919</v>
      </c>
      <c r="C86" s="114" t="s">
        <v>963</v>
      </c>
      <c r="D86" s="115" t="s">
        <v>865</v>
      </c>
      <c r="E86" s="116">
        <v>1999.9938</v>
      </c>
      <c r="F86" s="117" t="s">
        <v>921</v>
      </c>
    </row>
    <row r="87" spans="1:6" ht="24" x14ac:dyDescent="0.2">
      <c r="A87" s="113" t="s">
        <v>918</v>
      </c>
      <c r="B87" s="113" t="s">
        <v>919</v>
      </c>
      <c r="C87" s="114" t="s">
        <v>964</v>
      </c>
      <c r="D87" s="115" t="s">
        <v>865</v>
      </c>
      <c r="E87" s="116">
        <v>6938.4</v>
      </c>
      <c r="F87" s="117" t="s">
        <v>921</v>
      </c>
    </row>
    <row r="88" spans="1:6" x14ac:dyDescent="0.2">
      <c r="A88" s="113" t="s">
        <v>918</v>
      </c>
      <c r="B88" s="113" t="s">
        <v>919</v>
      </c>
      <c r="C88" s="114" t="s">
        <v>965</v>
      </c>
      <c r="D88" s="115" t="s">
        <v>865</v>
      </c>
      <c r="E88" s="116">
        <v>938.18259999999998</v>
      </c>
      <c r="F88" s="117" t="s">
        <v>921</v>
      </c>
    </row>
    <row r="89" spans="1:6" x14ac:dyDescent="0.2">
      <c r="A89" s="113" t="s">
        <v>918</v>
      </c>
      <c r="B89" s="113" t="s">
        <v>919</v>
      </c>
      <c r="C89" s="114" t="s">
        <v>966</v>
      </c>
      <c r="D89" s="115" t="s">
        <v>865</v>
      </c>
      <c r="E89" s="116">
        <v>3519.94</v>
      </c>
      <c r="F89" s="117" t="s">
        <v>921</v>
      </c>
    </row>
    <row r="90" spans="1:6" ht="20.100000000000001" customHeight="1" x14ac:dyDescent="0.2">
      <c r="A90" s="113" t="s">
        <v>918</v>
      </c>
      <c r="B90" s="113" t="s">
        <v>919</v>
      </c>
      <c r="C90" s="114" t="s">
        <v>967</v>
      </c>
      <c r="D90" s="115" t="s">
        <v>865</v>
      </c>
      <c r="E90" s="116">
        <v>9</v>
      </c>
      <c r="F90" s="117" t="s">
        <v>921</v>
      </c>
    </row>
    <row r="91" spans="1:6" ht="20.100000000000001" customHeight="1" x14ac:dyDescent="0.2">
      <c r="A91" s="113" t="s">
        <v>918</v>
      </c>
      <c r="B91" s="113" t="s">
        <v>919</v>
      </c>
      <c r="C91" s="114" t="s">
        <v>968</v>
      </c>
      <c r="D91" s="115" t="s">
        <v>865</v>
      </c>
      <c r="E91" s="116">
        <v>63229.120000000003</v>
      </c>
      <c r="F91" s="117" t="s">
        <v>921</v>
      </c>
    </row>
    <row r="92" spans="1:6" ht="24.75" customHeight="1" x14ac:dyDescent="0.2">
      <c r="A92" s="113" t="s">
        <v>918</v>
      </c>
      <c r="B92" s="113" t="s">
        <v>919</v>
      </c>
      <c r="C92" s="114" t="s">
        <v>969</v>
      </c>
      <c r="D92" s="115" t="s">
        <v>865</v>
      </c>
      <c r="E92" s="116">
        <v>475540</v>
      </c>
      <c r="F92" s="117" t="s">
        <v>921</v>
      </c>
    </row>
    <row r="93" spans="1:6" x14ac:dyDescent="0.2">
      <c r="A93" s="113" t="s">
        <v>918</v>
      </c>
      <c r="B93" s="113" t="s">
        <v>919</v>
      </c>
      <c r="C93" s="114" t="s">
        <v>970</v>
      </c>
      <c r="D93" s="115" t="s">
        <v>865</v>
      </c>
      <c r="E93" s="116">
        <v>490481.16</v>
      </c>
      <c r="F93" s="117" t="s">
        <v>921</v>
      </c>
    </row>
    <row r="94" spans="1:6" ht="24" x14ac:dyDescent="0.2">
      <c r="A94" s="113" t="s">
        <v>918</v>
      </c>
      <c r="B94" s="113" t="s">
        <v>919</v>
      </c>
      <c r="C94" s="114" t="s">
        <v>971</v>
      </c>
      <c r="D94" s="115" t="s">
        <v>865</v>
      </c>
      <c r="E94" s="116">
        <v>74340</v>
      </c>
      <c r="F94" s="117" t="s">
        <v>921</v>
      </c>
    </row>
    <row r="95" spans="1:6" ht="15" customHeight="1" x14ac:dyDescent="0.2">
      <c r="A95" s="113" t="s">
        <v>918</v>
      </c>
      <c r="B95" s="113" t="s">
        <v>919</v>
      </c>
      <c r="C95" s="114" t="s">
        <v>972</v>
      </c>
      <c r="D95" s="115" t="s">
        <v>865</v>
      </c>
      <c r="E95" s="116">
        <v>40101.792600000001</v>
      </c>
      <c r="F95" s="117" t="s">
        <v>921</v>
      </c>
    </row>
    <row r="96" spans="1:6" ht="14.1" customHeight="1" x14ac:dyDescent="0.2">
      <c r="A96" s="113" t="s">
        <v>918</v>
      </c>
      <c r="B96" s="113" t="s">
        <v>919</v>
      </c>
      <c r="C96" s="114" t="s">
        <v>973</v>
      </c>
      <c r="D96" s="115" t="s">
        <v>865</v>
      </c>
      <c r="E96" s="116">
        <v>386697.033</v>
      </c>
      <c r="F96" s="117" t="s">
        <v>921</v>
      </c>
    </row>
    <row r="97" spans="1:6" x14ac:dyDescent="0.2">
      <c r="A97" s="113" t="s">
        <v>918</v>
      </c>
      <c r="B97" s="113" t="s">
        <v>919</v>
      </c>
      <c r="C97" s="114" t="s">
        <v>974</v>
      </c>
      <c r="D97" s="115" t="s">
        <v>865</v>
      </c>
      <c r="E97" s="116">
        <v>142177.25599999999</v>
      </c>
      <c r="F97" s="117" t="s">
        <v>921</v>
      </c>
    </row>
    <row r="98" spans="1:6" x14ac:dyDescent="0.2">
      <c r="A98" s="113" t="s">
        <v>918</v>
      </c>
      <c r="B98" s="113" t="s">
        <v>919</v>
      </c>
      <c r="C98" s="114" t="s">
        <v>975</v>
      </c>
      <c r="D98" s="115" t="s">
        <v>865</v>
      </c>
      <c r="E98" s="116">
        <v>26868.6</v>
      </c>
      <c r="F98" s="117" t="s">
        <v>921</v>
      </c>
    </row>
    <row r="99" spans="1:6" ht="24" x14ac:dyDescent="0.2">
      <c r="A99" s="113" t="s">
        <v>918</v>
      </c>
      <c r="B99" s="113" t="s">
        <v>919</v>
      </c>
      <c r="C99" s="114" t="s">
        <v>976</v>
      </c>
      <c r="D99" s="115" t="s">
        <v>865</v>
      </c>
      <c r="E99" s="116">
        <v>1897493.1</v>
      </c>
      <c r="F99" s="117" t="s">
        <v>921</v>
      </c>
    </row>
    <row r="100" spans="1:6" x14ac:dyDescent="0.2">
      <c r="A100" s="113" t="s">
        <v>918</v>
      </c>
      <c r="B100" s="113" t="s">
        <v>919</v>
      </c>
      <c r="C100" s="114" t="s">
        <v>977</v>
      </c>
      <c r="D100" s="115" t="s">
        <v>865</v>
      </c>
      <c r="E100" s="116">
        <v>232041.1</v>
      </c>
      <c r="F100" s="117" t="s">
        <v>921</v>
      </c>
    </row>
    <row r="101" spans="1:6" ht="24" x14ac:dyDescent="0.2">
      <c r="A101" s="113" t="s">
        <v>918</v>
      </c>
      <c r="B101" s="113" t="s">
        <v>919</v>
      </c>
      <c r="C101" s="114" t="s">
        <v>978</v>
      </c>
      <c r="D101" s="115" t="s">
        <v>865</v>
      </c>
      <c r="E101" s="116">
        <v>34703.800000000003</v>
      </c>
      <c r="F101" s="117" t="s">
        <v>921</v>
      </c>
    </row>
    <row r="102" spans="1:6" ht="24" x14ac:dyDescent="0.2">
      <c r="A102" s="113" t="s">
        <v>918</v>
      </c>
      <c r="B102" s="113" t="s">
        <v>919</v>
      </c>
      <c r="C102" s="114" t="s">
        <v>979</v>
      </c>
      <c r="D102" s="115" t="s">
        <v>865</v>
      </c>
      <c r="E102" s="116">
        <v>8903.1</v>
      </c>
      <c r="F102" s="117" t="s">
        <v>921</v>
      </c>
    </row>
    <row r="103" spans="1:6" ht="15.95" customHeight="1" x14ac:dyDescent="0.2">
      <c r="A103" s="113" t="s">
        <v>918</v>
      </c>
      <c r="B103" s="113" t="s">
        <v>919</v>
      </c>
      <c r="C103" s="114" t="s">
        <v>980</v>
      </c>
      <c r="D103" s="115" t="s">
        <v>865</v>
      </c>
      <c r="E103" s="116">
        <v>130316.25</v>
      </c>
      <c r="F103" s="114" t="s">
        <v>921</v>
      </c>
    </row>
    <row r="104" spans="1:6" x14ac:dyDescent="0.2">
      <c r="A104" s="113" t="s">
        <v>918</v>
      </c>
      <c r="B104" s="113" t="s">
        <v>919</v>
      </c>
      <c r="C104" s="114" t="s">
        <v>981</v>
      </c>
      <c r="D104" s="115" t="s">
        <v>865</v>
      </c>
      <c r="E104" s="116">
        <v>22139.75</v>
      </c>
      <c r="F104" s="117" t="s">
        <v>921</v>
      </c>
    </row>
    <row r="105" spans="1:6" ht="24" x14ac:dyDescent="0.2">
      <c r="A105" s="113" t="s">
        <v>918</v>
      </c>
      <c r="B105" s="113" t="s">
        <v>919</v>
      </c>
      <c r="C105" s="114" t="s">
        <v>982</v>
      </c>
      <c r="D105" s="115" t="s">
        <v>865</v>
      </c>
      <c r="E105" s="116">
        <v>62932.232000000004</v>
      </c>
      <c r="F105" s="117" t="s">
        <v>921</v>
      </c>
    </row>
    <row r="106" spans="1:6" ht="24" x14ac:dyDescent="0.2">
      <c r="A106" s="113" t="s">
        <v>918</v>
      </c>
      <c r="B106" s="113" t="s">
        <v>919</v>
      </c>
      <c r="C106" s="114" t="s">
        <v>983</v>
      </c>
      <c r="D106" s="115" t="s">
        <v>865</v>
      </c>
      <c r="E106" s="116">
        <v>62932.232199999999</v>
      </c>
      <c r="F106" s="117" t="s">
        <v>921</v>
      </c>
    </row>
    <row r="107" spans="1:6" ht="24" x14ac:dyDescent="0.2">
      <c r="A107" s="113" t="s">
        <v>918</v>
      </c>
      <c r="B107" s="113" t="s">
        <v>919</v>
      </c>
      <c r="C107" s="114" t="s">
        <v>984</v>
      </c>
      <c r="D107" s="115" t="s">
        <v>865</v>
      </c>
      <c r="E107" s="116">
        <v>57230</v>
      </c>
      <c r="F107" s="117" t="s">
        <v>921</v>
      </c>
    </row>
    <row r="108" spans="1:6" x14ac:dyDescent="0.2">
      <c r="A108" s="113" t="s">
        <v>918</v>
      </c>
      <c r="B108" s="113" t="s">
        <v>919</v>
      </c>
      <c r="C108" s="114" t="s">
        <v>985</v>
      </c>
      <c r="D108" s="115" t="s">
        <v>865</v>
      </c>
      <c r="E108" s="116">
        <v>2549.9917</v>
      </c>
      <c r="F108" s="117" t="s">
        <v>921</v>
      </c>
    </row>
    <row r="109" spans="1:6" x14ac:dyDescent="0.2">
      <c r="A109" s="113" t="s">
        <v>918</v>
      </c>
      <c r="B109" s="113" t="s">
        <v>919</v>
      </c>
      <c r="C109" s="114" t="s">
        <v>986</v>
      </c>
      <c r="D109" s="115" t="s">
        <v>865</v>
      </c>
      <c r="E109" s="116">
        <v>13999.992</v>
      </c>
      <c r="F109" s="117" t="s">
        <v>921</v>
      </c>
    </row>
    <row r="110" spans="1:6" x14ac:dyDescent="0.2">
      <c r="A110" s="113" t="s">
        <v>918</v>
      </c>
      <c r="B110" s="113" t="s">
        <v>919</v>
      </c>
      <c r="C110" s="114" t="s">
        <v>987</v>
      </c>
      <c r="D110" s="115" t="s">
        <v>865</v>
      </c>
      <c r="E110" s="116">
        <v>19383.86</v>
      </c>
      <c r="F110" s="117" t="s">
        <v>921</v>
      </c>
    </row>
    <row r="111" spans="1:6" x14ac:dyDescent="0.2">
      <c r="A111" s="113" t="s">
        <v>918</v>
      </c>
      <c r="B111" s="113" t="s">
        <v>919</v>
      </c>
      <c r="C111" s="114" t="s">
        <v>988</v>
      </c>
      <c r="D111" s="115" t="s">
        <v>865</v>
      </c>
      <c r="E111" s="116">
        <v>250971.84</v>
      </c>
      <c r="F111" s="117" t="s">
        <v>921</v>
      </c>
    </row>
    <row r="112" spans="1:6" x14ac:dyDescent="0.2">
      <c r="A112" s="113" t="s">
        <v>918</v>
      </c>
      <c r="B112" s="113" t="s">
        <v>919</v>
      </c>
      <c r="C112" s="114" t="s">
        <v>989</v>
      </c>
      <c r="D112" s="115" t="s">
        <v>865</v>
      </c>
      <c r="E112" s="116">
        <v>257712</v>
      </c>
      <c r="F112" s="117" t="s">
        <v>921</v>
      </c>
    </row>
    <row r="113" spans="1:6" x14ac:dyDescent="0.2">
      <c r="A113" s="113" t="s">
        <v>918</v>
      </c>
      <c r="B113" s="113" t="s">
        <v>919</v>
      </c>
      <c r="C113" s="114" t="s">
        <v>990</v>
      </c>
      <c r="D113" s="115" t="s">
        <v>865</v>
      </c>
      <c r="E113" s="116">
        <v>3613.16</v>
      </c>
      <c r="F113" s="117" t="s">
        <v>921</v>
      </c>
    </row>
    <row r="114" spans="1:6" x14ac:dyDescent="0.2">
      <c r="A114" s="113" t="s">
        <v>918</v>
      </c>
      <c r="B114" s="113" t="s">
        <v>919</v>
      </c>
      <c r="C114" s="114" t="s">
        <v>991</v>
      </c>
      <c r="D114" s="115" t="s">
        <v>865</v>
      </c>
      <c r="E114" s="116">
        <v>34202.300000000003</v>
      </c>
      <c r="F114" s="117" t="s">
        <v>921</v>
      </c>
    </row>
    <row r="115" spans="1:6" x14ac:dyDescent="0.2">
      <c r="A115" s="113" t="s">
        <v>918</v>
      </c>
      <c r="B115" s="113" t="s">
        <v>919</v>
      </c>
      <c r="C115" s="114" t="s">
        <v>992</v>
      </c>
      <c r="D115" s="115" t="s">
        <v>865</v>
      </c>
      <c r="E115" s="116">
        <v>30336.03</v>
      </c>
      <c r="F115" s="117" t="s">
        <v>921</v>
      </c>
    </row>
    <row r="116" spans="1:6" x14ac:dyDescent="0.2">
      <c r="A116" s="113" t="s">
        <v>918</v>
      </c>
      <c r="B116" s="113" t="s">
        <v>919</v>
      </c>
      <c r="C116" s="114" t="s">
        <v>993</v>
      </c>
      <c r="D116" s="115" t="s">
        <v>865</v>
      </c>
      <c r="E116" s="116">
        <v>1250.8</v>
      </c>
      <c r="F116" s="117" t="s">
        <v>921</v>
      </c>
    </row>
    <row r="117" spans="1:6" x14ac:dyDescent="0.2">
      <c r="A117" s="113" t="s">
        <v>918</v>
      </c>
      <c r="B117" s="113" t="s">
        <v>919</v>
      </c>
      <c r="C117" s="114" t="s">
        <v>994</v>
      </c>
      <c r="D117" s="115" t="s">
        <v>865</v>
      </c>
      <c r="E117" s="116">
        <v>1250.8</v>
      </c>
      <c r="F117" s="117" t="s">
        <v>921</v>
      </c>
    </row>
    <row r="118" spans="1:6" x14ac:dyDescent="0.2">
      <c r="A118" s="113" t="s">
        <v>918</v>
      </c>
      <c r="B118" s="113" t="s">
        <v>919</v>
      </c>
      <c r="C118" s="114" t="s">
        <v>995</v>
      </c>
      <c r="D118" s="115" t="s">
        <v>865</v>
      </c>
      <c r="E118" s="116">
        <v>1250.8</v>
      </c>
      <c r="F118" s="117" t="s">
        <v>921</v>
      </c>
    </row>
    <row r="119" spans="1:6" x14ac:dyDescent="0.2">
      <c r="A119" s="113" t="s">
        <v>918</v>
      </c>
      <c r="B119" s="113" t="s">
        <v>919</v>
      </c>
      <c r="C119" s="114" t="s">
        <v>996</v>
      </c>
      <c r="D119" s="115" t="s">
        <v>865</v>
      </c>
      <c r="E119" s="116">
        <v>21240</v>
      </c>
      <c r="F119" s="117" t="s">
        <v>921</v>
      </c>
    </row>
    <row r="120" spans="1:6" x14ac:dyDescent="0.2">
      <c r="A120" s="113" t="s">
        <v>918</v>
      </c>
      <c r="B120" s="113" t="s">
        <v>919</v>
      </c>
      <c r="C120" s="114" t="s">
        <v>997</v>
      </c>
      <c r="D120" s="115" t="s">
        <v>865</v>
      </c>
      <c r="E120" s="116">
        <v>43960.9</v>
      </c>
      <c r="F120" s="117" t="s">
        <v>921</v>
      </c>
    </row>
    <row r="121" spans="1:6" x14ac:dyDescent="0.2">
      <c r="A121" s="113" t="s">
        <v>918</v>
      </c>
      <c r="B121" s="113" t="s">
        <v>919</v>
      </c>
      <c r="C121" s="114" t="s">
        <v>998</v>
      </c>
      <c r="D121" s="115" t="s">
        <v>865</v>
      </c>
      <c r="E121" s="116">
        <v>13749.996999999999</v>
      </c>
      <c r="F121" s="117" t="s">
        <v>921</v>
      </c>
    </row>
    <row r="122" spans="1:6" x14ac:dyDescent="0.2">
      <c r="A122" s="113" t="s">
        <v>918</v>
      </c>
      <c r="B122" s="113" t="s">
        <v>919</v>
      </c>
      <c r="C122" s="114" t="s">
        <v>999</v>
      </c>
      <c r="D122" s="115" t="s">
        <v>865</v>
      </c>
      <c r="E122" s="116">
        <v>13570</v>
      </c>
      <c r="F122" s="117" t="s">
        <v>921</v>
      </c>
    </row>
    <row r="123" spans="1:6" x14ac:dyDescent="0.2">
      <c r="A123" s="113" t="s">
        <v>918</v>
      </c>
      <c r="B123" s="113" t="s">
        <v>919</v>
      </c>
      <c r="C123" s="114" t="s">
        <v>1000</v>
      </c>
      <c r="D123" s="115" t="s">
        <v>865</v>
      </c>
      <c r="E123" s="116">
        <v>4284.71</v>
      </c>
      <c r="F123" s="117" t="s">
        <v>921</v>
      </c>
    </row>
    <row r="124" spans="1:6" x14ac:dyDescent="0.2">
      <c r="A124" s="113" t="s">
        <v>918</v>
      </c>
      <c r="B124" s="113" t="s">
        <v>919</v>
      </c>
      <c r="C124" s="114" t="s">
        <v>1001</v>
      </c>
      <c r="D124" s="115" t="s">
        <v>865</v>
      </c>
      <c r="E124" s="116">
        <v>5726.64</v>
      </c>
      <c r="F124" s="117" t="s">
        <v>921</v>
      </c>
    </row>
    <row r="125" spans="1:6" x14ac:dyDescent="0.2">
      <c r="A125" s="113" t="s">
        <v>918</v>
      </c>
      <c r="B125" s="113" t="s">
        <v>919</v>
      </c>
      <c r="C125" s="114" t="s">
        <v>1002</v>
      </c>
      <c r="D125" s="115" t="s">
        <v>865</v>
      </c>
      <c r="E125" s="116">
        <v>20650</v>
      </c>
      <c r="F125" s="117" t="s">
        <v>921</v>
      </c>
    </row>
    <row r="126" spans="1:6" ht="12.95" customHeight="1" x14ac:dyDescent="0.2">
      <c r="A126" s="113" t="s">
        <v>918</v>
      </c>
      <c r="B126" s="113" t="s">
        <v>919</v>
      </c>
      <c r="C126" s="114" t="s">
        <v>1003</v>
      </c>
      <c r="D126" s="115" t="s">
        <v>865</v>
      </c>
      <c r="E126" s="116">
        <v>575000.01</v>
      </c>
      <c r="F126" s="117" t="s">
        <v>921</v>
      </c>
    </row>
    <row r="127" spans="1:6" ht="24" x14ac:dyDescent="0.2">
      <c r="A127" s="113" t="s">
        <v>918</v>
      </c>
      <c r="B127" s="113" t="s">
        <v>919</v>
      </c>
      <c r="C127" s="114" t="s">
        <v>1004</v>
      </c>
      <c r="D127" s="115" t="s">
        <v>865</v>
      </c>
      <c r="E127" s="116">
        <v>2542900</v>
      </c>
      <c r="F127" s="117" t="s">
        <v>921</v>
      </c>
    </row>
    <row r="128" spans="1:6" x14ac:dyDescent="0.2">
      <c r="A128" s="113" t="s">
        <v>918</v>
      </c>
      <c r="B128" s="113" t="s">
        <v>919</v>
      </c>
      <c r="C128" s="114" t="s">
        <v>1005</v>
      </c>
      <c r="D128" s="115" t="s">
        <v>865</v>
      </c>
      <c r="E128" s="116">
        <v>172556.12</v>
      </c>
      <c r="F128" s="117" t="s">
        <v>921</v>
      </c>
    </row>
    <row r="129" spans="1:6" ht="24" x14ac:dyDescent="0.2">
      <c r="A129" s="113" t="s">
        <v>918</v>
      </c>
      <c r="B129" s="113" t="s">
        <v>919</v>
      </c>
      <c r="C129" s="114" t="s">
        <v>1006</v>
      </c>
      <c r="D129" s="115" t="s">
        <v>865</v>
      </c>
      <c r="E129" s="116">
        <v>44250</v>
      </c>
      <c r="F129" s="117" t="s">
        <v>921</v>
      </c>
    </row>
    <row r="130" spans="1:6" x14ac:dyDescent="0.2">
      <c r="A130" s="113" t="s">
        <v>918</v>
      </c>
      <c r="B130" s="113" t="s">
        <v>919</v>
      </c>
      <c r="C130" s="114" t="s">
        <v>1007</v>
      </c>
      <c r="D130" s="115" t="s">
        <v>865</v>
      </c>
      <c r="E130" s="116">
        <v>719492.56279999996</v>
      </c>
      <c r="F130" s="117" t="s">
        <v>921</v>
      </c>
    </row>
    <row r="131" spans="1:6" x14ac:dyDescent="0.2">
      <c r="A131" s="113" t="s">
        <v>918</v>
      </c>
      <c r="B131" s="113" t="s">
        <v>919</v>
      </c>
      <c r="C131" s="114" t="s">
        <v>1008</v>
      </c>
      <c r="D131" s="115" t="s">
        <v>865</v>
      </c>
      <c r="E131" s="116">
        <v>816192.43</v>
      </c>
      <c r="F131" s="117" t="s">
        <v>921</v>
      </c>
    </row>
    <row r="132" spans="1:6" x14ac:dyDescent="0.2">
      <c r="A132" s="118" t="s">
        <v>1009</v>
      </c>
      <c r="B132" s="118" t="s">
        <v>1010</v>
      </c>
      <c r="C132" s="119" t="s">
        <v>1011</v>
      </c>
      <c r="D132" s="120" t="s">
        <v>865</v>
      </c>
      <c r="E132" s="121">
        <v>36954.32</v>
      </c>
      <c r="F132" s="122" t="s">
        <v>527</v>
      </c>
    </row>
    <row r="133" spans="1:6" ht="14.1" customHeight="1" x14ac:dyDescent="0.2">
      <c r="A133" s="118" t="s">
        <v>1009</v>
      </c>
      <c r="B133" s="118" t="s">
        <v>1010</v>
      </c>
      <c r="C133" s="119" t="s">
        <v>1012</v>
      </c>
      <c r="D133" s="120" t="s">
        <v>865</v>
      </c>
      <c r="E133" s="121">
        <v>3776</v>
      </c>
      <c r="F133" s="122" t="s">
        <v>527</v>
      </c>
    </row>
    <row r="134" spans="1:6" ht="15.95" customHeight="1" x14ac:dyDescent="0.2">
      <c r="A134" s="118" t="s">
        <v>1009</v>
      </c>
      <c r="B134" s="118" t="s">
        <v>1010</v>
      </c>
      <c r="C134" s="119" t="s">
        <v>1013</v>
      </c>
      <c r="D134" s="120" t="s">
        <v>865</v>
      </c>
      <c r="E134" s="121">
        <v>12390</v>
      </c>
      <c r="F134" s="122" t="s">
        <v>527</v>
      </c>
    </row>
    <row r="135" spans="1:6" ht="15" customHeight="1" x14ac:dyDescent="0.2">
      <c r="A135" s="118" t="s">
        <v>1009</v>
      </c>
      <c r="B135" s="118" t="s">
        <v>1010</v>
      </c>
      <c r="C135" s="119" t="s">
        <v>1014</v>
      </c>
      <c r="D135" s="120" t="s">
        <v>865</v>
      </c>
      <c r="E135" s="121">
        <v>6293.7049999999999</v>
      </c>
      <c r="F135" s="122" t="s">
        <v>527</v>
      </c>
    </row>
    <row r="136" spans="1:6" ht="14.1" customHeight="1" x14ac:dyDescent="0.2">
      <c r="A136" s="118" t="s">
        <v>1009</v>
      </c>
      <c r="B136" s="118" t="s">
        <v>1010</v>
      </c>
      <c r="C136" s="119" t="s">
        <v>1015</v>
      </c>
      <c r="D136" s="120" t="s">
        <v>865</v>
      </c>
      <c r="E136" s="121">
        <v>27200</v>
      </c>
      <c r="F136" s="122" t="s">
        <v>527</v>
      </c>
    </row>
    <row r="137" spans="1:6" ht="24" x14ac:dyDescent="0.2">
      <c r="A137" s="123" t="s">
        <v>858</v>
      </c>
      <c r="B137" s="123" t="s">
        <v>1016</v>
      </c>
      <c r="C137" s="124" t="s">
        <v>1017</v>
      </c>
      <c r="D137" s="125" t="s">
        <v>865</v>
      </c>
      <c r="E137" s="126">
        <v>109504</v>
      </c>
      <c r="F137" s="127" t="s">
        <v>1018</v>
      </c>
    </row>
    <row r="138" spans="1:6" ht="24" x14ac:dyDescent="0.2">
      <c r="A138" s="123" t="s">
        <v>858</v>
      </c>
      <c r="B138" s="123" t="s">
        <v>1016</v>
      </c>
      <c r="C138" s="124" t="s">
        <v>1019</v>
      </c>
      <c r="D138" s="125" t="s">
        <v>865</v>
      </c>
      <c r="E138" s="126">
        <v>5723</v>
      </c>
      <c r="F138" s="127" t="s">
        <v>1018</v>
      </c>
    </row>
    <row r="139" spans="1:6" ht="24" x14ac:dyDescent="0.2">
      <c r="A139" s="88" t="s">
        <v>857</v>
      </c>
      <c r="B139" s="88" t="s">
        <v>1020</v>
      </c>
      <c r="C139" s="89" t="s">
        <v>1021</v>
      </c>
      <c r="D139" s="90" t="s">
        <v>865</v>
      </c>
      <c r="E139" s="91">
        <v>6200</v>
      </c>
      <c r="F139" s="128" t="s">
        <v>1022</v>
      </c>
    </row>
    <row r="140" spans="1:6" ht="36" x14ac:dyDescent="0.2">
      <c r="A140" s="88" t="s">
        <v>857</v>
      </c>
      <c r="B140" s="88" t="s">
        <v>1020</v>
      </c>
      <c r="C140" s="89" t="s">
        <v>1023</v>
      </c>
      <c r="D140" s="90" t="s">
        <v>865</v>
      </c>
      <c r="E140" s="91">
        <v>86568.53</v>
      </c>
      <c r="F140" s="128" t="s">
        <v>1022</v>
      </c>
    </row>
    <row r="141" spans="1:6" ht="36" x14ac:dyDescent="0.2">
      <c r="A141" s="88" t="s">
        <v>857</v>
      </c>
      <c r="B141" s="88" t="s">
        <v>1020</v>
      </c>
      <c r="C141" s="89" t="s">
        <v>1024</v>
      </c>
      <c r="D141" s="90" t="s">
        <v>865</v>
      </c>
      <c r="E141" s="91">
        <v>100917.38</v>
      </c>
      <c r="F141" s="128" t="s">
        <v>1022</v>
      </c>
    </row>
    <row r="142" spans="1:6" ht="15.95" customHeight="1" x14ac:dyDescent="0.2">
      <c r="A142" s="129" t="s">
        <v>783</v>
      </c>
      <c r="B142" s="129" t="s">
        <v>1025</v>
      </c>
      <c r="C142" s="130" t="s">
        <v>1026</v>
      </c>
      <c r="D142" s="131" t="s">
        <v>865</v>
      </c>
      <c r="E142" s="132">
        <v>1000</v>
      </c>
      <c r="F142" s="133" t="s">
        <v>1027</v>
      </c>
    </row>
    <row r="143" spans="1:6" x14ac:dyDescent="0.2">
      <c r="A143" s="129" t="s">
        <v>783</v>
      </c>
      <c r="B143" s="129" t="s">
        <v>1025</v>
      </c>
      <c r="C143" s="130" t="s">
        <v>1028</v>
      </c>
      <c r="D143" s="131" t="s">
        <v>865</v>
      </c>
      <c r="E143" s="132">
        <v>200</v>
      </c>
      <c r="F143" s="133" t="s">
        <v>1027</v>
      </c>
    </row>
    <row r="144" spans="1:6" ht="18" customHeight="1" x14ac:dyDescent="0.2">
      <c r="A144" s="129" t="s">
        <v>783</v>
      </c>
      <c r="B144" s="129" t="s">
        <v>1025</v>
      </c>
      <c r="C144" s="130" t="s">
        <v>1029</v>
      </c>
      <c r="D144" s="131" t="s">
        <v>865</v>
      </c>
      <c r="E144" s="132">
        <v>500</v>
      </c>
      <c r="F144" s="133" t="s">
        <v>1027</v>
      </c>
    </row>
    <row r="145" spans="1:6" ht="17.25" customHeight="1" x14ac:dyDescent="0.2">
      <c r="A145" s="129" t="s">
        <v>783</v>
      </c>
      <c r="B145" s="129" t="s">
        <v>1025</v>
      </c>
      <c r="C145" s="130" t="s">
        <v>1030</v>
      </c>
      <c r="D145" s="131" t="s">
        <v>1031</v>
      </c>
      <c r="E145" s="132">
        <v>197</v>
      </c>
      <c r="F145" s="134" t="s">
        <v>1032</v>
      </c>
    </row>
    <row r="146" spans="1:6" x14ac:dyDescent="0.2">
      <c r="A146" s="129" t="s">
        <v>783</v>
      </c>
      <c r="B146" s="129" t="s">
        <v>1025</v>
      </c>
      <c r="C146" s="130" t="s">
        <v>1033</v>
      </c>
      <c r="D146" s="131" t="s">
        <v>1031</v>
      </c>
      <c r="E146" s="132">
        <v>181</v>
      </c>
      <c r="F146" s="134" t="s">
        <v>1032</v>
      </c>
    </row>
    <row r="147" spans="1:6" x14ac:dyDescent="0.2">
      <c r="A147" s="129" t="s">
        <v>783</v>
      </c>
      <c r="B147" s="129" t="s">
        <v>1025</v>
      </c>
      <c r="C147" s="130" t="s">
        <v>1034</v>
      </c>
      <c r="D147" s="131" t="s">
        <v>1031</v>
      </c>
      <c r="E147" s="132">
        <v>251</v>
      </c>
      <c r="F147" s="133" t="s">
        <v>1032</v>
      </c>
    </row>
    <row r="148" spans="1:6" x14ac:dyDescent="0.2">
      <c r="A148" s="129" t="s">
        <v>783</v>
      </c>
      <c r="B148" s="129" t="s">
        <v>1025</v>
      </c>
      <c r="C148" s="130" t="s">
        <v>1035</v>
      </c>
      <c r="D148" s="131" t="s">
        <v>1031</v>
      </c>
      <c r="E148" s="132">
        <v>230</v>
      </c>
      <c r="F148" s="134" t="s">
        <v>1032</v>
      </c>
    </row>
    <row r="149" spans="1:6" x14ac:dyDescent="0.2">
      <c r="A149" s="129" t="s">
        <v>783</v>
      </c>
      <c r="B149" s="129" t="s">
        <v>1025</v>
      </c>
      <c r="C149" s="130" t="s">
        <v>1036</v>
      </c>
      <c r="D149" s="131" t="s">
        <v>1031</v>
      </c>
      <c r="E149" s="132">
        <v>110</v>
      </c>
      <c r="F149" s="133" t="s">
        <v>1032</v>
      </c>
    </row>
    <row r="150" spans="1:6" x14ac:dyDescent="0.2">
      <c r="A150" s="88" t="s">
        <v>775</v>
      </c>
      <c r="B150" s="88" t="s">
        <v>1037</v>
      </c>
      <c r="C150" s="89" t="s">
        <v>1038</v>
      </c>
      <c r="D150" s="90" t="s">
        <v>1039</v>
      </c>
      <c r="E150" s="91">
        <v>28.32</v>
      </c>
      <c r="F150" s="128" t="s">
        <v>545</v>
      </c>
    </row>
    <row r="151" spans="1:6" ht="24" x14ac:dyDescent="0.2">
      <c r="A151" s="88" t="s">
        <v>775</v>
      </c>
      <c r="B151" s="88" t="s">
        <v>1037</v>
      </c>
      <c r="C151" s="89" t="s">
        <v>1040</v>
      </c>
      <c r="D151" s="90" t="s">
        <v>865</v>
      </c>
      <c r="E151" s="91">
        <v>8500</v>
      </c>
      <c r="F151" s="128" t="s">
        <v>545</v>
      </c>
    </row>
    <row r="152" spans="1:6" x14ac:dyDescent="0.2">
      <c r="A152" s="88" t="s">
        <v>775</v>
      </c>
      <c r="B152" s="88" t="s">
        <v>1037</v>
      </c>
      <c r="C152" s="89" t="s">
        <v>1041</v>
      </c>
      <c r="D152" s="90" t="s">
        <v>865</v>
      </c>
      <c r="E152" s="91">
        <v>81.171999999999997</v>
      </c>
      <c r="F152" s="128" t="s">
        <v>545</v>
      </c>
    </row>
    <row r="153" spans="1:6" x14ac:dyDescent="0.2">
      <c r="A153" s="88" t="s">
        <v>775</v>
      </c>
      <c r="B153" s="88" t="s">
        <v>1037</v>
      </c>
      <c r="C153" s="89" t="s">
        <v>1042</v>
      </c>
      <c r="D153" s="90" t="s">
        <v>865</v>
      </c>
      <c r="E153" s="91">
        <v>103.3567</v>
      </c>
      <c r="F153" s="128" t="s">
        <v>545</v>
      </c>
    </row>
    <row r="154" spans="1:6" x14ac:dyDescent="0.2">
      <c r="A154" s="88" t="s">
        <v>775</v>
      </c>
      <c r="B154" s="88" t="s">
        <v>1037</v>
      </c>
      <c r="C154" s="89" t="s">
        <v>1043</v>
      </c>
      <c r="D154" s="90" t="s">
        <v>865</v>
      </c>
      <c r="E154" s="91">
        <v>20.059999999999999</v>
      </c>
      <c r="F154" s="128" t="s">
        <v>545</v>
      </c>
    </row>
    <row r="155" spans="1:6" ht="12.95" customHeight="1" x14ac:dyDescent="0.2">
      <c r="A155" s="88" t="s">
        <v>775</v>
      </c>
      <c r="B155" s="88" t="s">
        <v>1037</v>
      </c>
      <c r="C155" s="89" t="s">
        <v>1044</v>
      </c>
      <c r="D155" s="90" t="s">
        <v>865</v>
      </c>
      <c r="E155" s="91">
        <v>208.86</v>
      </c>
      <c r="F155" s="128" t="s">
        <v>545</v>
      </c>
    </row>
    <row r="156" spans="1:6" ht="15" customHeight="1" x14ac:dyDescent="0.2">
      <c r="A156" s="88" t="s">
        <v>775</v>
      </c>
      <c r="B156" s="88" t="s">
        <v>1037</v>
      </c>
      <c r="C156" s="89" t="s">
        <v>1045</v>
      </c>
      <c r="D156" s="90" t="s">
        <v>865</v>
      </c>
      <c r="E156" s="91">
        <v>206.73500000000001</v>
      </c>
      <c r="F156" s="128" t="s">
        <v>545</v>
      </c>
    </row>
    <row r="157" spans="1:6" ht="15" customHeight="1" x14ac:dyDescent="0.2">
      <c r="A157" s="88" t="s">
        <v>775</v>
      </c>
      <c r="B157" s="88" t="s">
        <v>1037</v>
      </c>
      <c r="C157" s="89" t="s">
        <v>1046</v>
      </c>
      <c r="D157" s="90" t="s">
        <v>865</v>
      </c>
      <c r="E157" s="91">
        <v>43.293999999999997</v>
      </c>
      <c r="F157" s="128" t="s">
        <v>545</v>
      </c>
    </row>
    <row r="158" spans="1:6" ht="15" customHeight="1" x14ac:dyDescent="0.2">
      <c r="A158" s="88" t="s">
        <v>775</v>
      </c>
      <c r="B158" s="88" t="s">
        <v>1037</v>
      </c>
      <c r="C158" s="89" t="s">
        <v>1047</v>
      </c>
      <c r="D158" s="90" t="s">
        <v>865</v>
      </c>
      <c r="E158" s="91">
        <v>5.9</v>
      </c>
      <c r="F158" s="128" t="s">
        <v>545</v>
      </c>
    </row>
    <row r="159" spans="1:6" ht="15" customHeight="1" x14ac:dyDescent="0.2">
      <c r="A159" s="88" t="s">
        <v>775</v>
      </c>
      <c r="B159" s="88" t="s">
        <v>1037</v>
      </c>
      <c r="C159" s="89" t="s">
        <v>1048</v>
      </c>
      <c r="D159" s="90" t="s">
        <v>865</v>
      </c>
      <c r="E159" s="91">
        <v>944</v>
      </c>
      <c r="F159" s="128" t="s">
        <v>545</v>
      </c>
    </row>
    <row r="160" spans="1:6" ht="15" customHeight="1" x14ac:dyDescent="0.2">
      <c r="A160" s="88" t="s">
        <v>775</v>
      </c>
      <c r="B160" s="88" t="s">
        <v>1037</v>
      </c>
      <c r="C160" s="89" t="s">
        <v>1049</v>
      </c>
      <c r="D160" s="90" t="s">
        <v>865</v>
      </c>
      <c r="E160" s="91">
        <v>571.12</v>
      </c>
      <c r="F160" s="128" t="s">
        <v>545</v>
      </c>
    </row>
    <row r="161" spans="1:6" ht="15" customHeight="1" x14ac:dyDescent="0.2">
      <c r="A161" s="88" t="s">
        <v>775</v>
      </c>
      <c r="B161" s="88" t="s">
        <v>1037</v>
      </c>
      <c r="C161" s="89" t="s">
        <v>1050</v>
      </c>
      <c r="D161" s="90" t="s">
        <v>865</v>
      </c>
      <c r="E161" s="91">
        <v>619.5</v>
      </c>
      <c r="F161" s="128" t="s">
        <v>545</v>
      </c>
    </row>
    <row r="162" spans="1:6" ht="15" customHeight="1" x14ac:dyDescent="0.2">
      <c r="A162" s="88" t="s">
        <v>775</v>
      </c>
      <c r="B162" s="88" t="s">
        <v>1037</v>
      </c>
      <c r="C162" s="89" t="s">
        <v>1051</v>
      </c>
      <c r="D162" s="90" t="s">
        <v>865</v>
      </c>
      <c r="E162" s="91">
        <v>100.3</v>
      </c>
      <c r="F162" s="128" t="s">
        <v>545</v>
      </c>
    </row>
    <row r="163" spans="1:6" ht="14.1" customHeight="1" x14ac:dyDescent="0.2">
      <c r="A163" s="88" t="s">
        <v>775</v>
      </c>
      <c r="B163" s="88" t="s">
        <v>1037</v>
      </c>
      <c r="C163" s="89" t="s">
        <v>1052</v>
      </c>
      <c r="D163" s="90" t="s">
        <v>865</v>
      </c>
      <c r="E163" s="91">
        <v>33.630000000000003</v>
      </c>
      <c r="F163" s="128" t="s">
        <v>545</v>
      </c>
    </row>
    <row r="164" spans="1:6" x14ac:dyDescent="0.2">
      <c r="A164" s="88" t="s">
        <v>775</v>
      </c>
      <c r="B164" s="88" t="s">
        <v>1037</v>
      </c>
      <c r="C164" s="89" t="s">
        <v>1053</v>
      </c>
      <c r="D164" s="90" t="s">
        <v>865</v>
      </c>
      <c r="E164" s="91">
        <v>44.25</v>
      </c>
      <c r="F164" s="128" t="s">
        <v>545</v>
      </c>
    </row>
    <row r="165" spans="1:6" x14ac:dyDescent="0.2">
      <c r="A165" s="88" t="s">
        <v>775</v>
      </c>
      <c r="B165" s="88" t="s">
        <v>1037</v>
      </c>
      <c r="C165" s="89" t="s">
        <v>1054</v>
      </c>
      <c r="D165" s="90" t="s">
        <v>865</v>
      </c>
      <c r="E165" s="91">
        <v>855.5</v>
      </c>
      <c r="F165" s="128" t="s">
        <v>545</v>
      </c>
    </row>
    <row r="166" spans="1:6" x14ac:dyDescent="0.2">
      <c r="A166" s="88" t="s">
        <v>775</v>
      </c>
      <c r="B166" s="88" t="s">
        <v>1037</v>
      </c>
      <c r="C166" s="89" t="s">
        <v>1055</v>
      </c>
      <c r="D166" s="90" t="s">
        <v>865</v>
      </c>
      <c r="E166" s="91">
        <v>60.2273</v>
      </c>
      <c r="F166" s="128" t="s">
        <v>545</v>
      </c>
    </row>
    <row r="167" spans="1:6" x14ac:dyDescent="0.2">
      <c r="A167" s="88" t="s">
        <v>775</v>
      </c>
      <c r="B167" s="88" t="s">
        <v>1037</v>
      </c>
      <c r="C167" s="89" t="s">
        <v>1056</v>
      </c>
      <c r="D167" s="90" t="s">
        <v>865</v>
      </c>
      <c r="E167" s="91">
        <v>102.8133</v>
      </c>
      <c r="F167" s="128" t="s">
        <v>545</v>
      </c>
    </row>
    <row r="168" spans="1:6" x14ac:dyDescent="0.2">
      <c r="A168" s="88" t="s">
        <v>775</v>
      </c>
      <c r="B168" s="88" t="s">
        <v>1037</v>
      </c>
      <c r="C168" s="89" t="s">
        <v>1057</v>
      </c>
      <c r="D168" s="90" t="s">
        <v>865</v>
      </c>
      <c r="E168" s="91">
        <v>3030.43</v>
      </c>
      <c r="F168" s="128" t="s">
        <v>545</v>
      </c>
    </row>
    <row r="169" spans="1:6" x14ac:dyDescent="0.2">
      <c r="A169" s="88" t="s">
        <v>775</v>
      </c>
      <c r="B169" s="88" t="s">
        <v>1037</v>
      </c>
      <c r="C169" s="89" t="s">
        <v>1058</v>
      </c>
      <c r="D169" s="90" t="s">
        <v>865</v>
      </c>
      <c r="E169" s="91">
        <v>858.45</v>
      </c>
      <c r="F169" s="128" t="s">
        <v>545</v>
      </c>
    </row>
    <row r="170" spans="1:6" x14ac:dyDescent="0.2">
      <c r="A170" s="88" t="s">
        <v>775</v>
      </c>
      <c r="B170" s="88" t="s">
        <v>1037</v>
      </c>
      <c r="C170" s="89" t="s">
        <v>1059</v>
      </c>
      <c r="D170" s="90" t="s">
        <v>865</v>
      </c>
      <c r="E170" s="91">
        <v>206.72329999999999</v>
      </c>
      <c r="F170" s="128" t="s">
        <v>545</v>
      </c>
    </row>
    <row r="171" spans="1:6" ht="15.95" customHeight="1" x14ac:dyDescent="0.2">
      <c r="A171" s="88" t="s">
        <v>775</v>
      </c>
      <c r="B171" s="88" t="s">
        <v>1037</v>
      </c>
      <c r="C171" s="89" t="s">
        <v>1060</v>
      </c>
      <c r="D171" s="90" t="s">
        <v>865</v>
      </c>
      <c r="E171" s="91">
        <v>4425</v>
      </c>
      <c r="F171" s="128" t="s">
        <v>545</v>
      </c>
    </row>
    <row r="172" spans="1:6" ht="24" x14ac:dyDescent="0.2">
      <c r="A172" s="88" t="s">
        <v>775</v>
      </c>
      <c r="B172" s="88" t="s">
        <v>1037</v>
      </c>
      <c r="C172" s="89" t="s">
        <v>1061</v>
      </c>
      <c r="D172" s="90" t="s">
        <v>865</v>
      </c>
      <c r="E172" s="91">
        <v>13500.0026</v>
      </c>
      <c r="F172" s="128" t="s">
        <v>545</v>
      </c>
    </row>
    <row r="173" spans="1:6" ht="20.25" customHeight="1" x14ac:dyDescent="0.2">
      <c r="A173" s="88" t="s">
        <v>775</v>
      </c>
      <c r="B173" s="88" t="s">
        <v>1037</v>
      </c>
      <c r="C173" s="89" t="s">
        <v>1062</v>
      </c>
      <c r="D173" s="90" t="s">
        <v>865</v>
      </c>
      <c r="E173" s="91">
        <v>1416</v>
      </c>
      <c r="F173" s="128" t="s">
        <v>545</v>
      </c>
    </row>
    <row r="174" spans="1:6" ht="21" customHeight="1" x14ac:dyDescent="0.2">
      <c r="A174" s="88" t="s">
        <v>775</v>
      </c>
      <c r="B174" s="88" t="s">
        <v>1037</v>
      </c>
      <c r="C174" s="89" t="s">
        <v>1063</v>
      </c>
      <c r="D174" s="90" t="s">
        <v>865</v>
      </c>
      <c r="E174" s="91">
        <v>3.54</v>
      </c>
      <c r="F174" s="135" t="s">
        <v>545</v>
      </c>
    </row>
    <row r="175" spans="1:6" ht="18" customHeight="1" x14ac:dyDescent="0.2">
      <c r="A175" s="88" t="s">
        <v>775</v>
      </c>
      <c r="B175" s="88" t="s">
        <v>1037</v>
      </c>
      <c r="C175" s="89" t="s">
        <v>1064</v>
      </c>
      <c r="D175" s="90" t="s">
        <v>865</v>
      </c>
      <c r="E175" s="91">
        <v>73.16</v>
      </c>
      <c r="F175" s="128" t="s">
        <v>545</v>
      </c>
    </row>
    <row r="176" spans="1:6" ht="20.25" customHeight="1" x14ac:dyDescent="0.2">
      <c r="A176" s="88" t="s">
        <v>775</v>
      </c>
      <c r="B176" s="88" t="s">
        <v>1037</v>
      </c>
      <c r="C176" s="89" t="s">
        <v>1065</v>
      </c>
      <c r="D176" s="90" t="s">
        <v>865</v>
      </c>
      <c r="E176" s="91">
        <v>548.26499999999999</v>
      </c>
      <c r="F176" s="128" t="s">
        <v>545</v>
      </c>
    </row>
    <row r="177" spans="1:6" ht="25.5" customHeight="1" x14ac:dyDescent="0.2">
      <c r="A177" s="88" t="s">
        <v>775</v>
      </c>
      <c r="B177" s="88" t="s">
        <v>1037</v>
      </c>
      <c r="C177" s="89" t="s">
        <v>1066</v>
      </c>
      <c r="D177" s="90" t="s">
        <v>865</v>
      </c>
      <c r="E177" s="91">
        <v>526.32500000000005</v>
      </c>
      <c r="F177" s="128" t="s">
        <v>545</v>
      </c>
    </row>
    <row r="178" spans="1:6" ht="19.5" customHeight="1" x14ac:dyDescent="0.2">
      <c r="A178" s="88" t="s">
        <v>775</v>
      </c>
      <c r="B178" s="88" t="s">
        <v>1037</v>
      </c>
      <c r="C178" s="89" t="s">
        <v>1067</v>
      </c>
      <c r="D178" s="90" t="s">
        <v>865</v>
      </c>
      <c r="E178" s="91">
        <v>3.54</v>
      </c>
      <c r="F178" s="135" t="s">
        <v>545</v>
      </c>
    </row>
    <row r="179" spans="1:6" ht="27.75" customHeight="1" x14ac:dyDescent="0.2">
      <c r="A179" s="88" t="s">
        <v>775</v>
      </c>
      <c r="B179" s="88" t="s">
        <v>1037</v>
      </c>
      <c r="C179" s="89" t="s">
        <v>1068</v>
      </c>
      <c r="D179" s="90" t="s">
        <v>865</v>
      </c>
      <c r="E179" s="91">
        <v>265.5</v>
      </c>
      <c r="F179" s="128" t="s">
        <v>545</v>
      </c>
    </row>
    <row r="180" spans="1:6" ht="21.75" customHeight="1" x14ac:dyDescent="0.2">
      <c r="A180" s="136" t="s">
        <v>670</v>
      </c>
      <c r="B180" s="136" t="s">
        <v>1069</v>
      </c>
      <c r="C180" s="137" t="s">
        <v>1070</v>
      </c>
      <c r="D180" s="138" t="s">
        <v>865</v>
      </c>
      <c r="E180" s="139">
        <v>1.9823999999999999</v>
      </c>
      <c r="F180" s="140" t="s">
        <v>1071</v>
      </c>
    </row>
    <row r="181" spans="1:6" ht="22.5" customHeight="1" x14ac:dyDescent="0.2">
      <c r="A181" s="88" t="s">
        <v>761</v>
      </c>
      <c r="B181" s="88" t="s">
        <v>1072</v>
      </c>
      <c r="C181" s="89" t="s">
        <v>1073</v>
      </c>
      <c r="D181" s="90" t="s">
        <v>865</v>
      </c>
      <c r="E181" s="91">
        <v>7773.84</v>
      </c>
      <c r="F181" s="128" t="s">
        <v>1074</v>
      </c>
    </row>
    <row r="182" spans="1:6" ht="24" x14ac:dyDescent="0.2">
      <c r="A182" s="88" t="s">
        <v>761</v>
      </c>
      <c r="B182" s="88" t="s">
        <v>1072</v>
      </c>
      <c r="C182" s="89" t="s">
        <v>1075</v>
      </c>
      <c r="D182" s="90" t="s">
        <v>865</v>
      </c>
      <c r="E182" s="91">
        <v>9343.24</v>
      </c>
      <c r="F182" s="128" t="s">
        <v>1074</v>
      </c>
    </row>
    <row r="183" spans="1:6" ht="23.25" customHeight="1" x14ac:dyDescent="0.2">
      <c r="A183" s="88" t="s">
        <v>761</v>
      </c>
      <c r="B183" s="88" t="s">
        <v>1072</v>
      </c>
      <c r="C183" s="89" t="s">
        <v>1076</v>
      </c>
      <c r="D183" s="90" t="s">
        <v>865</v>
      </c>
      <c r="E183" s="91">
        <v>10915</v>
      </c>
      <c r="F183" s="128" t="s">
        <v>1074</v>
      </c>
    </row>
    <row r="184" spans="1:6" ht="20.25" customHeight="1" x14ac:dyDescent="0.2">
      <c r="A184" s="88" t="s">
        <v>761</v>
      </c>
      <c r="B184" s="88" t="s">
        <v>1072</v>
      </c>
      <c r="C184" s="89" t="s">
        <v>1077</v>
      </c>
      <c r="D184" s="90" t="s">
        <v>865</v>
      </c>
      <c r="E184" s="91">
        <v>3923.5</v>
      </c>
      <c r="F184" s="128" t="s">
        <v>1074</v>
      </c>
    </row>
    <row r="185" spans="1:6" ht="14.1" customHeight="1" x14ac:dyDescent="0.2">
      <c r="A185" s="88" t="s">
        <v>761</v>
      </c>
      <c r="B185" s="88" t="s">
        <v>1072</v>
      </c>
      <c r="C185" s="89" t="s">
        <v>1078</v>
      </c>
      <c r="D185" s="90" t="s">
        <v>865</v>
      </c>
      <c r="E185" s="91">
        <v>4543</v>
      </c>
      <c r="F185" s="128" t="s">
        <v>1074</v>
      </c>
    </row>
    <row r="186" spans="1:6" ht="17.100000000000001" customHeight="1" x14ac:dyDescent="0.2">
      <c r="A186" s="88" t="s">
        <v>761</v>
      </c>
      <c r="B186" s="88" t="s">
        <v>1072</v>
      </c>
      <c r="C186" s="89" t="s">
        <v>1079</v>
      </c>
      <c r="D186" s="90" t="s">
        <v>865</v>
      </c>
      <c r="E186" s="91">
        <v>9204</v>
      </c>
      <c r="F186" s="128" t="s">
        <v>1074</v>
      </c>
    </row>
    <row r="187" spans="1:6" ht="15.95" customHeight="1" x14ac:dyDescent="0.2">
      <c r="A187" s="88" t="s">
        <v>761</v>
      </c>
      <c r="B187" s="88" t="s">
        <v>1072</v>
      </c>
      <c r="C187" s="89" t="s">
        <v>1080</v>
      </c>
      <c r="D187" s="90" t="s">
        <v>865</v>
      </c>
      <c r="E187" s="91">
        <v>1239</v>
      </c>
      <c r="F187" s="128" t="s">
        <v>1074</v>
      </c>
    </row>
    <row r="188" spans="1:6" ht="15.95" customHeight="1" x14ac:dyDescent="0.2">
      <c r="A188" s="88" t="s">
        <v>761</v>
      </c>
      <c r="B188" s="88" t="s">
        <v>1072</v>
      </c>
      <c r="C188" s="89" t="s">
        <v>1081</v>
      </c>
      <c r="D188" s="90" t="s">
        <v>865</v>
      </c>
      <c r="E188" s="91">
        <v>1239</v>
      </c>
      <c r="F188" s="128" t="s">
        <v>1074</v>
      </c>
    </row>
    <row r="189" spans="1:6" ht="32.25" customHeight="1" x14ac:dyDescent="0.2">
      <c r="A189" s="141" t="s">
        <v>709</v>
      </c>
      <c r="B189" s="141" t="s">
        <v>1082</v>
      </c>
      <c r="C189" s="141" t="s">
        <v>1083</v>
      </c>
      <c r="D189" s="142" t="s">
        <v>865</v>
      </c>
      <c r="E189" s="143">
        <v>54999.99</v>
      </c>
      <c r="F189" s="144" t="s">
        <v>1084</v>
      </c>
    </row>
    <row r="190" spans="1:6" ht="30.75" customHeight="1" x14ac:dyDescent="0.2">
      <c r="A190" s="141" t="s">
        <v>709</v>
      </c>
      <c r="B190" s="141" t="s">
        <v>1082</v>
      </c>
      <c r="C190" s="141" t="s">
        <v>1085</v>
      </c>
      <c r="D190" s="142" t="s">
        <v>865</v>
      </c>
      <c r="E190" s="143">
        <v>17023.8</v>
      </c>
      <c r="F190" s="144" t="s">
        <v>1084</v>
      </c>
    </row>
    <row r="191" spans="1:6" ht="25.5" customHeight="1" x14ac:dyDescent="0.2">
      <c r="A191" s="145" t="s">
        <v>1086</v>
      </c>
      <c r="B191" s="141" t="s">
        <v>1082</v>
      </c>
      <c r="C191" s="146" t="s">
        <v>1087</v>
      </c>
      <c r="D191" s="147" t="s">
        <v>865</v>
      </c>
      <c r="E191" s="148">
        <v>4130</v>
      </c>
      <c r="F191" s="149" t="s">
        <v>1088</v>
      </c>
    </row>
    <row r="192" spans="1:6" ht="15.95" customHeight="1" x14ac:dyDescent="0.2">
      <c r="A192" s="145" t="s">
        <v>1086</v>
      </c>
      <c r="B192" s="141" t="s">
        <v>1082</v>
      </c>
      <c r="C192" s="146" t="s">
        <v>1089</v>
      </c>
      <c r="D192" s="147" t="s">
        <v>865</v>
      </c>
      <c r="E192" s="148">
        <v>16048</v>
      </c>
      <c r="F192" s="149" t="s">
        <v>1088</v>
      </c>
    </row>
    <row r="193" spans="1:6" ht="27.75" customHeight="1" x14ac:dyDescent="0.2">
      <c r="A193" s="145" t="s">
        <v>1086</v>
      </c>
      <c r="B193" s="141" t="s">
        <v>1082</v>
      </c>
      <c r="C193" s="146" t="s">
        <v>1090</v>
      </c>
      <c r="D193" s="150" t="s">
        <v>865</v>
      </c>
      <c r="E193" s="148">
        <v>24502.7</v>
      </c>
      <c r="F193" s="149" t="s">
        <v>1088</v>
      </c>
    </row>
    <row r="194" spans="1:6" ht="34.5" customHeight="1" x14ac:dyDescent="0.2">
      <c r="A194" s="141" t="s">
        <v>1091</v>
      </c>
      <c r="B194" s="141" t="s">
        <v>1082</v>
      </c>
      <c r="C194" s="141" t="s">
        <v>1092</v>
      </c>
      <c r="D194" s="142" t="s">
        <v>865</v>
      </c>
      <c r="E194" s="143">
        <v>715000</v>
      </c>
      <c r="F194" s="144" t="s">
        <v>1093</v>
      </c>
    </row>
    <row r="195" spans="1:6" ht="23.25" customHeight="1" x14ac:dyDescent="0.2">
      <c r="A195" s="141" t="s">
        <v>1094</v>
      </c>
      <c r="B195" s="141" t="s">
        <v>1082</v>
      </c>
      <c r="C195" s="141" t="s">
        <v>1095</v>
      </c>
      <c r="D195" s="142" t="s">
        <v>865</v>
      </c>
      <c r="E195" s="143">
        <v>60742.81</v>
      </c>
      <c r="F195" s="144" t="s">
        <v>1084</v>
      </c>
    </row>
    <row r="196" spans="1:6" ht="25.5" customHeight="1" x14ac:dyDescent="0.2">
      <c r="A196" s="113" t="s">
        <v>1094</v>
      </c>
      <c r="B196" s="141" t="s">
        <v>1082</v>
      </c>
      <c r="C196" s="141" t="s">
        <v>1096</v>
      </c>
      <c r="D196" s="142" t="s">
        <v>865</v>
      </c>
      <c r="E196" s="143">
        <v>30385</v>
      </c>
      <c r="F196" s="144" t="s">
        <v>1084</v>
      </c>
    </row>
    <row r="197" spans="1:6" ht="24" x14ac:dyDescent="0.2">
      <c r="A197" s="141" t="s">
        <v>1094</v>
      </c>
      <c r="B197" s="141" t="s">
        <v>1082</v>
      </c>
      <c r="C197" s="141" t="s">
        <v>1097</v>
      </c>
      <c r="D197" s="142" t="s">
        <v>865</v>
      </c>
      <c r="E197" s="143">
        <v>79818.740000000005</v>
      </c>
      <c r="F197" s="144" t="s">
        <v>1084</v>
      </c>
    </row>
    <row r="198" spans="1:6" ht="24" x14ac:dyDescent="0.2">
      <c r="A198" s="113" t="s">
        <v>1094</v>
      </c>
      <c r="B198" s="141" t="s">
        <v>1082</v>
      </c>
      <c r="C198" s="141" t="s">
        <v>1098</v>
      </c>
      <c r="D198" s="142" t="s">
        <v>865</v>
      </c>
      <c r="E198" s="143">
        <v>4500</v>
      </c>
      <c r="F198" s="144" t="s">
        <v>1099</v>
      </c>
    </row>
    <row r="199" spans="1:6" ht="24" x14ac:dyDescent="0.2">
      <c r="A199" s="113" t="s">
        <v>1094</v>
      </c>
      <c r="B199" s="141" t="s">
        <v>1082</v>
      </c>
      <c r="C199" s="114" t="s">
        <v>1100</v>
      </c>
      <c r="D199" s="115" t="s">
        <v>865</v>
      </c>
      <c r="E199" s="116">
        <v>44840</v>
      </c>
      <c r="F199" s="117" t="s">
        <v>1101</v>
      </c>
    </row>
    <row r="200" spans="1:6" ht="14.1" customHeight="1" x14ac:dyDescent="0.2">
      <c r="A200" s="141" t="s">
        <v>1094</v>
      </c>
      <c r="B200" s="141" t="s">
        <v>1082</v>
      </c>
      <c r="C200" s="141" t="s">
        <v>1102</v>
      </c>
      <c r="D200" s="142" t="s">
        <v>865</v>
      </c>
      <c r="E200" s="143">
        <v>8850</v>
      </c>
      <c r="F200" s="144" t="s">
        <v>1084</v>
      </c>
    </row>
    <row r="201" spans="1:6" ht="14.1" customHeight="1" x14ac:dyDescent="0.2">
      <c r="A201" s="113" t="s">
        <v>1103</v>
      </c>
      <c r="B201" s="141" t="s">
        <v>1082</v>
      </c>
      <c r="C201" s="151" t="s">
        <v>1104</v>
      </c>
      <c r="D201" s="152" t="s">
        <v>865</v>
      </c>
      <c r="E201" s="153">
        <v>45459.5</v>
      </c>
      <c r="F201" s="154" t="s">
        <v>1105</v>
      </c>
    </row>
    <row r="202" spans="1:6" ht="15.95" customHeight="1" x14ac:dyDescent="0.2">
      <c r="A202" s="113" t="s">
        <v>1103</v>
      </c>
      <c r="B202" s="141" t="s">
        <v>1082</v>
      </c>
      <c r="C202" s="151" t="s">
        <v>1106</v>
      </c>
      <c r="D202" s="152" t="s">
        <v>865</v>
      </c>
      <c r="E202" s="153">
        <v>7500</v>
      </c>
      <c r="F202" s="154" t="s">
        <v>1107</v>
      </c>
    </row>
    <row r="203" spans="1:6" ht="15" customHeight="1" x14ac:dyDescent="0.2">
      <c r="A203" s="155" t="s">
        <v>795</v>
      </c>
      <c r="B203" s="155" t="s">
        <v>1108</v>
      </c>
      <c r="C203" s="156" t="s">
        <v>1109</v>
      </c>
      <c r="D203" s="157" t="s">
        <v>865</v>
      </c>
      <c r="E203" s="158">
        <v>68.44</v>
      </c>
      <c r="F203" s="159" t="s">
        <v>1110</v>
      </c>
    </row>
    <row r="204" spans="1:6" ht="15" customHeight="1" x14ac:dyDescent="0.2">
      <c r="A204" s="155" t="s">
        <v>795</v>
      </c>
      <c r="B204" s="155" t="s">
        <v>1108</v>
      </c>
      <c r="C204" s="156" t="s">
        <v>1111</v>
      </c>
      <c r="D204" s="157" t="s">
        <v>865</v>
      </c>
      <c r="E204" s="158">
        <v>3935.3</v>
      </c>
      <c r="F204" s="159" t="s">
        <v>1110</v>
      </c>
    </row>
    <row r="205" spans="1:6" ht="14.1" customHeight="1" x14ac:dyDescent="0.2">
      <c r="A205" s="155" t="s">
        <v>795</v>
      </c>
      <c r="B205" s="155" t="s">
        <v>1108</v>
      </c>
      <c r="C205" s="156" t="s">
        <v>1112</v>
      </c>
      <c r="D205" s="157" t="s">
        <v>865</v>
      </c>
      <c r="E205" s="158">
        <v>1548</v>
      </c>
      <c r="F205" s="159" t="s">
        <v>1110</v>
      </c>
    </row>
    <row r="206" spans="1:6" ht="12.95" customHeight="1" x14ac:dyDescent="0.2">
      <c r="A206" s="155" t="s">
        <v>795</v>
      </c>
      <c r="B206" s="155" t="s">
        <v>1108</v>
      </c>
      <c r="C206" s="156" t="s">
        <v>1113</v>
      </c>
      <c r="D206" s="157" t="s">
        <v>865</v>
      </c>
      <c r="E206" s="158">
        <v>130</v>
      </c>
      <c r="F206" s="159" t="s">
        <v>1110</v>
      </c>
    </row>
    <row r="207" spans="1:6" x14ac:dyDescent="0.2">
      <c r="A207" s="155" t="s">
        <v>795</v>
      </c>
      <c r="B207" s="155" t="s">
        <v>1108</v>
      </c>
      <c r="C207" s="156" t="s">
        <v>1114</v>
      </c>
      <c r="D207" s="157" t="s">
        <v>865</v>
      </c>
      <c r="E207" s="158">
        <v>341.02</v>
      </c>
      <c r="F207" s="159" t="s">
        <v>1110</v>
      </c>
    </row>
    <row r="208" spans="1:6" x14ac:dyDescent="0.2">
      <c r="A208" s="155" t="s">
        <v>795</v>
      </c>
      <c r="B208" s="155" t="s">
        <v>1108</v>
      </c>
      <c r="C208" s="156" t="s">
        <v>1115</v>
      </c>
      <c r="D208" s="157" t="s">
        <v>865</v>
      </c>
      <c r="E208" s="158">
        <v>120</v>
      </c>
      <c r="F208" s="159" t="s">
        <v>1110</v>
      </c>
    </row>
    <row r="209" spans="1:6" x14ac:dyDescent="0.2">
      <c r="A209" s="155" t="s">
        <v>795</v>
      </c>
      <c r="B209" s="155" t="s">
        <v>1108</v>
      </c>
      <c r="C209" s="156" t="s">
        <v>1116</v>
      </c>
      <c r="D209" s="157" t="s">
        <v>1031</v>
      </c>
      <c r="E209" s="158">
        <v>57.784999999999997</v>
      </c>
      <c r="F209" s="159" t="s">
        <v>1110</v>
      </c>
    </row>
    <row r="210" spans="1:6" x14ac:dyDescent="0.2">
      <c r="A210" s="155" t="s">
        <v>795</v>
      </c>
      <c r="B210" s="155" t="s">
        <v>1108</v>
      </c>
      <c r="C210" s="156" t="s">
        <v>1117</v>
      </c>
      <c r="D210" s="157" t="s">
        <v>1031</v>
      </c>
      <c r="E210" s="158">
        <v>118</v>
      </c>
      <c r="F210" s="159" t="s">
        <v>1110</v>
      </c>
    </row>
    <row r="211" spans="1:6" x14ac:dyDescent="0.2">
      <c r="A211" s="155" t="s">
        <v>795</v>
      </c>
      <c r="B211" s="155" t="s">
        <v>1108</v>
      </c>
      <c r="C211" s="156" t="s">
        <v>1118</v>
      </c>
      <c r="D211" s="157" t="s">
        <v>1031</v>
      </c>
      <c r="E211" s="158">
        <v>138.06</v>
      </c>
      <c r="F211" s="159" t="s">
        <v>1110</v>
      </c>
    </row>
    <row r="212" spans="1:6" x14ac:dyDescent="0.2">
      <c r="A212" s="155" t="s">
        <v>795</v>
      </c>
      <c r="B212" s="155" t="s">
        <v>1108</v>
      </c>
      <c r="C212" s="156" t="s">
        <v>1119</v>
      </c>
      <c r="D212" s="157" t="s">
        <v>1031</v>
      </c>
      <c r="E212" s="158">
        <v>136.88</v>
      </c>
      <c r="F212" s="159" t="s">
        <v>1110</v>
      </c>
    </row>
    <row r="213" spans="1:6" ht="14.1" customHeight="1" x14ac:dyDescent="0.2">
      <c r="A213" s="155" t="s">
        <v>795</v>
      </c>
      <c r="B213" s="155" t="s">
        <v>1108</v>
      </c>
      <c r="C213" s="156" t="s">
        <v>1120</v>
      </c>
      <c r="D213" s="157" t="s">
        <v>865</v>
      </c>
      <c r="E213" s="158">
        <v>270</v>
      </c>
      <c r="F213" s="159" t="s">
        <v>1110</v>
      </c>
    </row>
    <row r="214" spans="1:6" ht="15" customHeight="1" x14ac:dyDescent="0.2">
      <c r="A214" s="155" t="s">
        <v>795</v>
      </c>
      <c r="B214" s="155" t="s">
        <v>1108</v>
      </c>
      <c r="C214" s="156" t="s">
        <v>1121</v>
      </c>
      <c r="D214" s="157" t="s">
        <v>865</v>
      </c>
      <c r="E214" s="158">
        <v>300</v>
      </c>
      <c r="F214" s="159" t="s">
        <v>1110</v>
      </c>
    </row>
    <row r="215" spans="1:6" x14ac:dyDescent="0.2">
      <c r="A215" s="155" t="s">
        <v>795</v>
      </c>
      <c r="B215" s="155" t="s">
        <v>1108</v>
      </c>
      <c r="C215" s="156" t="s">
        <v>1122</v>
      </c>
      <c r="D215" s="157" t="s">
        <v>865</v>
      </c>
      <c r="E215" s="158">
        <v>160</v>
      </c>
      <c r="F215" s="159" t="s">
        <v>1110</v>
      </c>
    </row>
    <row r="216" spans="1:6" x14ac:dyDescent="0.2">
      <c r="A216" s="155" t="s">
        <v>795</v>
      </c>
      <c r="B216" s="155" t="s">
        <v>1108</v>
      </c>
      <c r="C216" s="156" t="s">
        <v>1123</v>
      </c>
      <c r="D216" s="157" t="s">
        <v>865</v>
      </c>
      <c r="E216" s="158">
        <v>728.06</v>
      </c>
      <c r="F216" s="159" t="s">
        <v>1110</v>
      </c>
    </row>
    <row r="217" spans="1:6" x14ac:dyDescent="0.2">
      <c r="A217" s="155" t="s">
        <v>795</v>
      </c>
      <c r="B217" s="155" t="s">
        <v>1108</v>
      </c>
      <c r="C217" s="156" t="s">
        <v>1124</v>
      </c>
      <c r="D217" s="157" t="s">
        <v>865</v>
      </c>
      <c r="E217" s="158">
        <v>125</v>
      </c>
      <c r="F217" s="159" t="s">
        <v>1110</v>
      </c>
    </row>
    <row r="218" spans="1:6" x14ac:dyDescent="0.2">
      <c r="A218" s="160" t="s">
        <v>820</v>
      </c>
      <c r="B218" s="160" t="s">
        <v>1125</v>
      </c>
      <c r="C218" s="161" t="s">
        <v>1126</v>
      </c>
      <c r="D218" s="162" t="s">
        <v>865</v>
      </c>
      <c r="E218" s="163">
        <v>7123.8959999999997</v>
      </c>
      <c r="F218" s="164" t="s">
        <v>1127</v>
      </c>
    </row>
    <row r="219" spans="1:6" x14ac:dyDescent="0.2">
      <c r="A219" s="160" t="s">
        <v>820</v>
      </c>
      <c r="B219" s="160" t="s">
        <v>1125</v>
      </c>
      <c r="C219" s="161" t="s">
        <v>1128</v>
      </c>
      <c r="D219" s="165" t="s">
        <v>865</v>
      </c>
      <c r="E219" s="166">
        <v>13570</v>
      </c>
      <c r="F219" s="167" t="s">
        <v>1127</v>
      </c>
    </row>
    <row r="220" spans="1:6" ht="19.5" customHeight="1" x14ac:dyDescent="0.2">
      <c r="A220" s="168" t="s">
        <v>1129</v>
      </c>
      <c r="B220" s="168" t="s">
        <v>1130</v>
      </c>
      <c r="C220" s="169" t="s">
        <v>1131</v>
      </c>
      <c r="D220" s="170" t="s">
        <v>865</v>
      </c>
      <c r="E220" s="171">
        <v>6938.4</v>
      </c>
      <c r="F220" s="172" t="s">
        <v>1132</v>
      </c>
    </row>
    <row r="221" spans="1:6" ht="15.95" customHeight="1" x14ac:dyDescent="0.2">
      <c r="A221" s="173" t="s">
        <v>1129</v>
      </c>
      <c r="B221" s="168" t="s">
        <v>1130</v>
      </c>
      <c r="C221" s="174" t="s">
        <v>1133</v>
      </c>
      <c r="D221" s="175" t="s">
        <v>865</v>
      </c>
      <c r="E221" s="176">
        <v>11800</v>
      </c>
      <c r="F221" s="177" t="s">
        <v>1134</v>
      </c>
    </row>
    <row r="222" spans="1:6" ht="15.95" customHeight="1" x14ac:dyDescent="0.2">
      <c r="A222" s="173" t="s">
        <v>1129</v>
      </c>
      <c r="B222" s="168" t="s">
        <v>1130</v>
      </c>
      <c r="C222" s="174" t="s">
        <v>1135</v>
      </c>
      <c r="D222" s="175" t="s">
        <v>865</v>
      </c>
      <c r="E222" s="176">
        <v>10620</v>
      </c>
      <c r="F222" s="177" t="s">
        <v>1134</v>
      </c>
    </row>
    <row r="223" spans="1:6" x14ac:dyDescent="0.2">
      <c r="A223" s="168" t="s">
        <v>1129</v>
      </c>
      <c r="B223" s="168" t="s">
        <v>1130</v>
      </c>
      <c r="C223" s="169" t="s">
        <v>1136</v>
      </c>
      <c r="D223" s="170" t="s">
        <v>865</v>
      </c>
      <c r="E223" s="171">
        <v>8142</v>
      </c>
      <c r="F223" s="172" t="s">
        <v>1132</v>
      </c>
    </row>
    <row r="224" spans="1:6" x14ac:dyDescent="0.2">
      <c r="A224" s="173" t="s">
        <v>1129</v>
      </c>
      <c r="B224" s="168" t="s">
        <v>1130</v>
      </c>
      <c r="C224" s="174" t="s">
        <v>1137</v>
      </c>
      <c r="D224" s="175" t="s">
        <v>865</v>
      </c>
      <c r="E224" s="176">
        <v>11227.8771</v>
      </c>
      <c r="F224" s="178" t="s">
        <v>1134</v>
      </c>
    </row>
    <row r="225" spans="1:6" ht="21.75" customHeight="1" x14ac:dyDescent="0.2">
      <c r="A225" s="168" t="s">
        <v>1129</v>
      </c>
      <c r="B225" s="168" t="s">
        <v>1130</v>
      </c>
      <c r="C225" s="169" t="s">
        <v>1138</v>
      </c>
      <c r="D225" s="170" t="s">
        <v>865</v>
      </c>
      <c r="E225" s="171">
        <v>8496</v>
      </c>
      <c r="F225" s="172" t="s">
        <v>1132</v>
      </c>
    </row>
    <row r="226" spans="1:6" ht="23.25" customHeight="1" x14ac:dyDescent="0.2">
      <c r="A226" s="168" t="s">
        <v>1129</v>
      </c>
      <c r="B226" s="168" t="s">
        <v>1130</v>
      </c>
      <c r="C226" s="169" t="s">
        <v>1139</v>
      </c>
      <c r="D226" s="179" t="s">
        <v>865</v>
      </c>
      <c r="E226" s="180">
        <v>5605</v>
      </c>
      <c r="F226" s="181" t="s">
        <v>1132</v>
      </c>
    </row>
    <row r="227" spans="1:6" ht="23.25" customHeight="1" x14ac:dyDescent="0.2">
      <c r="A227" s="173" t="s">
        <v>1129</v>
      </c>
      <c r="B227" s="168" t="s">
        <v>1130</v>
      </c>
      <c r="C227" s="174" t="s">
        <v>1140</v>
      </c>
      <c r="D227" s="175" t="s">
        <v>865</v>
      </c>
      <c r="E227" s="176">
        <v>14160</v>
      </c>
      <c r="F227" s="178" t="s">
        <v>1134</v>
      </c>
    </row>
    <row r="228" spans="1:6" ht="24" x14ac:dyDescent="0.2">
      <c r="A228" s="168" t="s">
        <v>1129</v>
      </c>
      <c r="B228" s="168" t="s">
        <v>1130</v>
      </c>
      <c r="C228" s="169" t="s">
        <v>1141</v>
      </c>
      <c r="D228" s="170" t="s">
        <v>865</v>
      </c>
      <c r="E228" s="171">
        <v>1121</v>
      </c>
      <c r="F228" s="172" t="s">
        <v>1132</v>
      </c>
    </row>
    <row r="229" spans="1:6" ht="24" x14ac:dyDescent="0.2">
      <c r="A229" s="173" t="s">
        <v>1129</v>
      </c>
      <c r="B229" s="168" t="s">
        <v>1130</v>
      </c>
      <c r="C229" s="174" t="s">
        <v>1142</v>
      </c>
      <c r="D229" s="175" t="s">
        <v>865</v>
      </c>
      <c r="E229" s="176">
        <v>450</v>
      </c>
      <c r="F229" s="178" t="s">
        <v>1134</v>
      </c>
    </row>
    <row r="230" spans="1:6" ht="24" x14ac:dyDescent="0.2">
      <c r="A230" s="168" t="s">
        <v>1129</v>
      </c>
      <c r="B230" s="168" t="s">
        <v>1130</v>
      </c>
      <c r="C230" s="169" t="s">
        <v>1143</v>
      </c>
      <c r="D230" s="170" t="s">
        <v>865</v>
      </c>
      <c r="E230" s="171">
        <v>5900</v>
      </c>
      <c r="F230" s="172" t="s">
        <v>1132</v>
      </c>
    </row>
    <row r="231" spans="1:6" ht="24" x14ac:dyDescent="0.2">
      <c r="A231" s="173" t="s">
        <v>1129</v>
      </c>
      <c r="B231" s="168" t="s">
        <v>1130</v>
      </c>
      <c r="C231" s="174" t="s">
        <v>1144</v>
      </c>
      <c r="D231" s="175" t="s">
        <v>865</v>
      </c>
      <c r="E231" s="176">
        <v>14160</v>
      </c>
      <c r="F231" s="178" t="s">
        <v>1134</v>
      </c>
    </row>
    <row r="232" spans="1:6" x14ac:dyDescent="0.2">
      <c r="A232" s="168" t="s">
        <v>1129</v>
      </c>
      <c r="B232" s="168" t="s">
        <v>1130</v>
      </c>
      <c r="C232" s="169" t="s">
        <v>1145</v>
      </c>
      <c r="D232" s="170" t="s">
        <v>865</v>
      </c>
      <c r="E232" s="171">
        <v>18880</v>
      </c>
      <c r="F232" s="181" t="s">
        <v>1132</v>
      </c>
    </row>
    <row r="233" spans="1:6" ht="24" x14ac:dyDescent="0.2">
      <c r="A233" s="168" t="s">
        <v>1129</v>
      </c>
      <c r="B233" s="168" t="s">
        <v>1130</v>
      </c>
      <c r="C233" s="169" t="s">
        <v>1146</v>
      </c>
      <c r="D233" s="170" t="s">
        <v>865</v>
      </c>
      <c r="E233" s="171">
        <v>4130</v>
      </c>
      <c r="F233" s="181" t="s">
        <v>1132</v>
      </c>
    </row>
    <row r="234" spans="1:6" x14ac:dyDescent="0.2">
      <c r="A234" s="168" t="s">
        <v>1129</v>
      </c>
      <c r="B234" s="168" t="s">
        <v>1130</v>
      </c>
      <c r="C234" s="169" t="s">
        <v>1147</v>
      </c>
      <c r="D234" s="170" t="s">
        <v>865</v>
      </c>
      <c r="E234" s="171">
        <v>2950</v>
      </c>
      <c r="F234" s="181" t="s">
        <v>1132</v>
      </c>
    </row>
    <row r="235" spans="1:6" ht="24" x14ac:dyDescent="0.2">
      <c r="A235" s="173" t="s">
        <v>1129</v>
      </c>
      <c r="B235" s="168" t="s">
        <v>1130</v>
      </c>
      <c r="C235" s="174" t="s">
        <v>1148</v>
      </c>
      <c r="D235" s="175" t="s">
        <v>865</v>
      </c>
      <c r="E235" s="176">
        <v>7949.66</v>
      </c>
      <c r="F235" s="178" t="s">
        <v>1134</v>
      </c>
    </row>
    <row r="236" spans="1:6" x14ac:dyDescent="0.2">
      <c r="A236" s="173" t="s">
        <v>1129</v>
      </c>
      <c r="B236" s="168" t="s">
        <v>1130</v>
      </c>
      <c r="C236" s="174" t="s">
        <v>1149</v>
      </c>
      <c r="D236" s="175" t="s">
        <v>865</v>
      </c>
      <c r="E236" s="176">
        <v>1303.9000000000001</v>
      </c>
      <c r="F236" s="178" t="s">
        <v>1134</v>
      </c>
    </row>
    <row r="237" spans="1:6" ht="24" x14ac:dyDescent="0.2">
      <c r="A237" s="173" t="s">
        <v>1129</v>
      </c>
      <c r="B237" s="168" t="s">
        <v>1130</v>
      </c>
      <c r="C237" s="174" t="s">
        <v>1150</v>
      </c>
      <c r="D237" s="175" t="s">
        <v>865</v>
      </c>
      <c r="E237" s="176">
        <v>7949.66</v>
      </c>
      <c r="F237" s="178" t="s">
        <v>1134</v>
      </c>
    </row>
    <row r="238" spans="1:6" ht="24" x14ac:dyDescent="0.2">
      <c r="A238" s="173" t="s">
        <v>1129</v>
      </c>
      <c r="B238" s="168" t="s">
        <v>1130</v>
      </c>
      <c r="C238" s="174" t="s">
        <v>1151</v>
      </c>
      <c r="D238" s="175" t="s">
        <v>865</v>
      </c>
      <c r="E238" s="176">
        <v>9912</v>
      </c>
      <c r="F238" s="178" t="s">
        <v>1134</v>
      </c>
    </row>
    <row r="239" spans="1:6" ht="19.5" customHeight="1" x14ac:dyDescent="0.2">
      <c r="A239" s="168" t="s">
        <v>1129</v>
      </c>
      <c r="B239" s="168" t="s">
        <v>1130</v>
      </c>
      <c r="C239" s="182" t="s">
        <v>1152</v>
      </c>
      <c r="D239" s="179" t="s">
        <v>865</v>
      </c>
      <c r="E239" s="180">
        <v>14004.83</v>
      </c>
      <c r="F239" s="181" t="s">
        <v>1132</v>
      </c>
    </row>
    <row r="240" spans="1:6" ht="20.25" customHeight="1" x14ac:dyDescent="0.2">
      <c r="A240" s="168" t="s">
        <v>1129</v>
      </c>
      <c r="B240" s="168" t="s">
        <v>1130</v>
      </c>
      <c r="C240" s="169" t="s">
        <v>1153</v>
      </c>
      <c r="D240" s="170" t="s">
        <v>865</v>
      </c>
      <c r="E240" s="171">
        <v>12019.008</v>
      </c>
      <c r="F240" s="181" t="s">
        <v>1132</v>
      </c>
    </row>
    <row r="241" spans="1:6" ht="24" x14ac:dyDescent="0.2">
      <c r="A241" s="168" t="s">
        <v>1129</v>
      </c>
      <c r="B241" s="168" t="s">
        <v>1130</v>
      </c>
      <c r="C241" s="169" t="s">
        <v>1154</v>
      </c>
      <c r="D241" s="179" t="s">
        <v>865</v>
      </c>
      <c r="E241" s="180">
        <v>4378.9799999999996</v>
      </c>
      <c r="F241" s="181" t="s">
        <v>1134</v>
      </c>
    </row>
    <row r="242" spans="1:6" ht="24" x14ac:dyDescent="0.2">
      <c r="A242" s="168" t="s">
        <v>1129</v>
      </c>
      <c r="B242" s="168" t="s">
        <v>1130</v>
      </c>
      <c r="C242" s="169" t="s">
        <v>1155</v>
      </c>
      <c r="D242" s="170" t="s">
        <v>865</v>
      </c>
      <c r="E242" s="171">
        <v>3482.18</v>
      </c>
      <c r="F242" s="172" t="s">
        <v>1132</v>
      </c>
    </row>
    <row r="243" spans="1:6" ht="24" x14ac:dyDescent="0.2">
      <c r="A243" s="168" t="s">
        <v>1129</v>
      </c>
      <c r="B243" s="168" t="s">
        <v>1130</v>
      </c>
      <c r="C243" s="169" t="s">
        <v>1156</v>
      </c>
      <c r="D243" s="170" t="s">
        <v>865</v>
      </c>
      <c r="E243" s="171">
        <v>6755.7359999999999</v>
      </c>
      <c r="F243" s="181" t="s">
        <v>1132</v>
      </c>
    </row>
    <row r="244" spans="1:6" ht="12.95" customHeight="1" x14ac:dyDescent="0.2">
      <c r="A244" s="183" t="s">
        <v>1157</v>
      </c>
      <c r="B244" s="183" t="s">
        <v>1158</v>
      </c>
      <c r="C244" s="184" t="s">
        <v>1159</v>
      </c>
      <c r="D244" s="185" t="s">
        <v>865</v>
      </c>
      <c r="E244" s="186"/>
      <c r="F244" s="187" t="s">
        <v>1160</v>
      </c>
    </row>
    <row r="245" spans="1:6" ht="24" x14ac:dyDescent="0.2">
      <c r="A245" s="188" t="s">
        <v>1161</v>
      </c>
      <c r="B245" s="188" t="s">
        <v>1162</v>
      </c>
      <c r="C245" s="189" t="s">
        <v>1163</v>
      </c>
      <c r="D245" s="190" t="s">
        <v>865</v>
      </c>
      <c r="E245" s="191">
        <v>36028.94</v>
      </c>
      <c r="F245" s="192" t="s">
        <v>1164</v>
      </c>
    </row>
    <row r="246" spans="1:6" x14ac:dyDescent="0.2">
      <c r="A246" s="188" t="s">
        <v>1161</v>
      </c>
      <c r="B246" s="188" t="s">
        <v>1162</v>
      </c>
      <c r="C246" s="189" t="s">
        <v>1165</v>
      </c>
      <c r="D246" s="190" t="s">
        <v>865</v>
      </c>
      <c r="E246" s="191">
        <v>30591.5</v>
      </c>
      <c r="F246" s="192" t="s">
        <v>1164</v>
      </c>
    </row>
    <row r="247" spans="1:6" x14ac:dyDescent="0.2">
      <c r="A247" s="188" t="s">
        <v>1161</v>
      </c>
      <c r="B247" s="188" t="s">
        <v>1162</v>
      </c>
      <c r="C247" s="189" t="s">
        <v>1166</v>
      </c>
      <c r="D247" s="190" t="s">
        <v>865</v>
      </c>
      <c r="E247" s="191">
        <v>626.58000000000004</v>
      </c>
      <c r="F247" s="192" t="s">
        <v>1164</v>
      </c>
    </row>
    <row r="248" spans="1:6" ht="24" x14ac:dyDescent="0.2">
      <c r="A248" s="188" t="s">
        <v>1161</v>
      </c>
      <c r="B248" s="188" t="s">
        <v>1162</v>
      </c>
      <c r="C248" s="189" t="s">
        <v>1167</v>
      </c>
      <c r="D248" s="190" t="s">
        <v>865</v>
      </c>
      <c r="E248" s="191">
        <v>62031.42</v>
      </c>
      <c r="F248" s="192" t="s">
        <v>1164</v>
      </c>
    </row>
    <row r="249" spans="1:6" x14ac:dyDescent="0.2">
      <c r="A249" s="88" t="s">
        <v>677</v>
      </c>
      <c r="B249" s="88" t="s">
        <v>1168</v>
      </c>
      <c r="C249" s="89" t="s">
        <v>1169</v>
      </c>
      <c r="D249" s="90" t="s">
        <v>865</v>
      </c>
      <c r="E249" s="91">
        <v>60</v>
      </c>
      <c r="F249" s="128" t="s">
        <v>1170</v>
      </c>
    </row>
    <row r="250" spans="1:6" x14ac:dyDescent="0.2">
      <c r="A250" s="193" t="s">
        <v>1171</v>
      </c>
      <c r="B250" s="193" t="s">
        <v>1172</v>
      </c>
      <c r="C250" s="194" t="s">
        <v>1173</v>
      </c>
      <c r="D250" s="195" t="s">
        <v>865</v>
      </c>
      <c r="E250" s="196">
        <v>487.34</v>
      </c>
      <c r="F250" s="197" t="s">
        <v>538</v>
      </c>
    </row>
    <row r="251" spans="1:6" x14ac:dyDescent="0.2">
      <c r="A251" s="193" t="s">
        <v>1171</v>
      </c>
      <c r="B251" s="193" t="s">
        <v>1172</v>
      </c>
      <c r="C251" s="194" t="s">
        <v>1174</v>
      </c>
      <c r="D251" s="195" t="s">
        <v>865</v>
      </c>
      <c r="E251" s="196">
        <v>88.5</v>
      </c>
      <c r="F251" s="197" t="s">
        <v>538</v>
      </c>
    </row>
    <row r="252" spans="1:6" x14ac:dyDescent="0.2">
      <c r="A252" s="198" t="s">
        <v>755</v>
      </c>
      <c r="B252" s="198" t="s">
        <v>1175</v>
      </c>
      <c r="C252" s="199" t="s">
        <v>1176</v>
      </c>
      <c r="D252" s="200" t="s">
        <v>865</v>
      </c>
      <c r="E252" s="201">
        <v>177</v>
      </c>
      <c r="F252" s="202" t="s">
        <v>1177</v>
      </c>
    </row>
    <row r="253" spans="1:6" ht="36" x14ac:dyDescent="0.2">
      <c r="A253" s="198" t="s">
        <v>755</v>
      </c>
      <c r="B253" s="198" t="s">
        <v>1175</v>
      </c>
      <c r="C253" s="199" t="s">
        <v>1178</v>
      </c>
      <c r="D253" s="200" t="s">
        <v>865</v>
      </c>
      <c r="E253" s="201">
        <v>5959</v>
      </c>
      <c r="F253" s="202" t="s">
        <v>1177</v>
      </c>
    </row>
    <row r="254" spans="1:6" x14ac:dyDescent="0.2">
      <c r="A254" s="88" t="s">
        <v>767</v>
      </c>
      <c r="B254" s="88" t="s">
        <v>1179</v>
      </c>
      <c r="C254" s="89" t="s">
        <v>1180</v>
      </c>
      <c r="D254" s="90" t="s">
        <v>1181</v>
      </c>
      <c r="E254" s="91">
        <v>18.88</v>
      </c>
      <c r="F254" s="92" t="s">
        <v>1182</v>
      </c>
    </row>
    <row r="255" spans="1:6" x14ac:dyDescent="0.2">
      <c r="A255" s="88" t="s">
        <v>772</v>
      </c>
      <c r="B255" s="88" t="s">
        <v>1183</v>
      </c>
      <c r="C255" s="89" t="s">
        <v>1184</v>
      </c>
      <c r="D255" s="90" t="s">
        <v>865</v>
      </c>
      <c r="E255" s="91">
        <v>4124.1000000000004</v>
      </c>
      <c r="F255" s="92" t="s">
        <v>1185</v>
      </c>
    </row>
    <row r="256" spans="1:6" ht="19.5" customHeight="1" x14ac:dyDescent="0.2">
      <c r="A256" s="88" t="s">
        <v>772</v>
      </c>
      <c r="B256" s="88" t="s">
        <v>1183</v>
      </c>
      <c r="C256" s="89" t="s">
        <v>1186</v>
      </c>
      <c r="D256" s="90" t="s">
        <v>865</v>
      </c>
      <c r="E256" s="91">
        <v>4737.7</v>
      </c>
      <c r="F256" s="92" t="s">
        <v>1185</v>
      </c>
    </row>
    <row r="257" spans="1:6" x14ac:dyDescent="0.2">
      <c r="A257" s="88" t="s">
        <v>772</v>
      </c>
      <c r="B257" s="88" t="s">
        <v>1183</v>
      </c>
      <c r="C257" s="89" t="s">
        <v>1187</v>
      </c>
      <c r="D257" s="90" t="s">
        <v>865</v>
      </c>
      <c r="E257" s="91">
        <v>1239</v>
      </c>
      <c r="F257" s="92" t="s">
        <v>1185</v>
      </c>
    </row>
    <row r="258" spans="1:6" ht="24" x14ac:dyDescent="0.2">
      <c r="A258" s="198" t="s">
        <v>752</v>
      </c>
      <c r="B258" s="198" t="s">
        <v>1188</v>
      </c>
      <c r="C258" s="199" t="s">
        <v>1189</v>
      </c>
      <c r="D258" s="200" t="s">
        <v>865</v>
      </c>
      <c r="E258" s="201">
        <v>711.54</v>
      </c>
      <c r="F258" s="202" t="s">
        <v>1177</v>
      </c>
    </row>
    <row r="259" spans="1:6" ht="23.25" customHeight="1" x14ac:dyDescent="0.2">
      <c r="A259" s="198" t="s">
        <v>752</v>
      </c>
      <c r="B259" s="198" t="s">
        <v>1188</v>
      </c>
      <c r="C259" s="199" t="s">
        <v>1190</v>
      </c>
      <c r="D259" s="200" t="s">
        <v>865</v>
      </c>
      <c r="E259" s="201">
        <v>30.68</v>
      </c>
      <c r="F259" s="202" t="s">
        <v>1177</v>
      </c>
    </row>
    <row r="260" spans="1:6" ht="17.25" customHeight="1" x14ac:dyDescent="0.2">
      <c r="A260" s="198" t="s">
        <v>752</v>
      </c>
      <c r="B260" s="198" t="s">
        <v>1188</v>
      </c>
      <c r="C260" s="199" t="s">
        <v>1191</v>
      </c>
      <c r="D260" s="200" t="s">
        <v>865</v>
      </c>
      <c r="E260" s="201">
        <v>93.22</v>
      </c>
      <c r="F260" s="202" t="s">
        <v>1192</v>
      </c>
    </row>
    <row r="261" spans="1:6" ht="15" customHeight="1" x14ac:dyDescent="0.2">
      <c r="A261" s="198" t="s">
        <v>752</v>
      </c>
      <c r="B261" s="198" t="s">
        <v>1188</v>
      </c>
      <c r="C261" s="199" t="s">
        <v>1193</v>
      </c>
      <c r="D261" s="200" t="s">
        <v>865</v>
      </c>
      <c r="E261" s="201">
        <v>140.125</v>
      </c>
      <c r="F261" s="202" t="s">
        <v>1192</v>
      </c>
    </row>
    <row r="262" spans="1:6" x14ac:dyDescent="0.2">
      <c r="A262" s="198" t="s">
        <v>752</v>
      </c>
      <c r="B262" s="198" t="s">
        <v>1188</v>
      </c>
      <c r="C262" s="199" t="s">
        <v>1194</v>
      </c>
      <c r="D262" s="200" t="s">
        <v>865</v>
      </c>
      <c r="E262" s="201">
        <v>194.7</v>
      </c>
      <c r="F262" s="202" t="s">
        <v>1192</v>
      </c>
    </row>
    <row r="263" spans="1:6" x14ac:dyDescent="0.2">
      <c r="A263" s="198" t="s">
        <v>752</v>
      </c>
      <c r="B263" s="198" t="s">
        <v>1188</v>
      </c>
      <c r="C263" s="199" t="s">
        <v>1195</v>
      </c>
      <c r="D263" s="200" t="s">
        <v>865</v>
      </c>
      <c r="E263" s="201">
        <v>334.82499999999999</v>
      </c>
      <c r="F263" s="202" t="s">
        <v>1192</v>
      </c>
    </row>
    <row r="264" spans="1:6" x14ac:dyDescent="0.2">
      <c r="A264" s="198" t="s">
        <v>752</v>
      </c>
      <c r="B264" s="198" t="s">
        <v>1188</v>
      </c>
      <c r="C264" s="199" t="s">
        <v>1196</v>
      </c>
      <c r="D264" s="200" t="s">
        <v>865</v>
      </c>
      <c r="E264" s="201">
        <v>474.36</v>
      </c>
      <c r="F264" s="202" t="s">
        <v>1192</v>
      </c>
    </row>
    <row r="265" spans="1:6" x14ac:dyDescent="0.2">
      <c r="A265" s="198" t="s">
        <v>752</v>
      </c>
      <c r="B265" s="198" t="s">
        <v>1188</v>
      </c>
      <c r="C265" s="199" t="s">
        <v>1197</v>
      </c>
      <c r="D265" s="200" t="s">
        <v>865</v>
      </c>
      <c r="E265" s="201">
        <v>548.70000000000005</v>
      </c>
      <c r="F265" s="202" t="s">
        <v>1192</v>
      </c>
    </row>
    <row r="266" spans="1:6" x14ac:dyDescent="0.2">
      <c r="A266" s="198" t="s">
        <v>752</v>
      </c>
      <c r="B266" s="198" t="s">
        <v>1188</v>
      </c>
      <c r="C266" s="199" t="s">
        <v>1198</v>
      </c>
      <c r="D266" s="200" t="s">
        <v>865</v>
      </c>
      <c r="E266" s="201">
        <v>628.94000000000005</v>
      </c>
      <c r="F266" s="202" t="s">
        <v>1192</v>
      </c>
    </row>
    <row r="267" spans="1:6" x14ac:dyDescent="0.2">
      <c r="A267" s="198" t="s">
        <v>752</v>
      </c>
      <c r="B267" s="198" t="s">
        <v>1188</v>
      </c>
      <c r="C267" s="199" t="s">
        <v>1199</v>
      </c>
      <c r="D267" s="200" t="s">
        <v>865</v>
      </c>
      <c r="E267" s="201">
        <v>401.2</v>
      </c>
      <c r="F267" s="202" t="s">
        <v>1192</v>
      </c>
    </row>
    <row r="268" spans="1:6" x14ac:dyDescent="0.2">
      <c r="A268" s="198" t="s">
        <v>752</v>
      </c>
      <c r="B268" s="198" t="s">
        <v>1188</v>
      </c>
      <c r="C268" s="199" t="s">
        <v>1200</v>
      </c>
      <c r="D268" s="200" t="s">
        <v>865</v>
      </c>
      <c r="E268" s="201">
        <v>526.57500000000005</v>
      </c>
      <c r="F268" s="202" t="s">
        <v>1192</v>
      </c>
    </row>
    <row r="269" spans="1:6" x14ac:dyDescent="0.2">
      <c r="A269" s="198" t="s">
        <v>752</v>
      </c>
      <c r="B269" s="198" t="s">
        <v>1188</v>
      </c>
      <c r="C269" s="199" t="s">
        <v>1201</v>
      </c>
      <c r="D269" s="200" t="s">
        <v>892</v>
      </c>
      <c r="E269" s="201">
        <v>175.82</v>
      </c>
      <c r="F269" s="202" t="s">
        <v>1192</v>
      </c>
    </row>
    <row r="270" spans="1:6" x14ac:dyDescent="0.2">
      <c r="A270" s="198" t="s">
        <v>752</v>
      </c>
      <c r="B270" s="198" t="s">
        <v>1188</v>
      </c>
      <c r="C270" s="199" t="s">
        <v>1202</v>
      </c>
      <c r="D270" s="200" t="s">
        <v>892</v>
      </c>
      <c r="E270" s="201">
        <v>531</v>
      </c>
      <c r="F270" s="202" t="s">
        <v>1192</v>
      </c>
    </row>
    <row r="271" spans="1:6" x14ac:dyDescent="0.2">
      <c r="A271" s="198" t="s">
        <v>752</v>
      </c>
      <c r="B271" s="198" t="s">
        <v>1188</v>
      </c>
      <c r="C271" s="199" t="s">
        <v>1203</v>
      </c>
      <c r="D271" s="200" t="s">
        <v>892</v>
      </c>
      <c r="E271" s="201">
        <v>233.64</v>
      </c>
      <c r="F271" s="202" t="s">
        <v>1192</v>
      </c>
    </row>
    <row r="272" spans="1:6" x14ac:dyDescent="0.2">
      <c r="A272" s="198" t="s">
        <v>752</v>
      </c>
      <c r="B272" s="198" t="s">
        <v>1188</v>
      </c>
      <c r="C272" s="199" t="s">
        <v>1204</v>
      </c>
      <c r="D272" s="200" t="s">
        <v>892</v>
      </c>
      <c r="E272" s="201">
        <v>260.00110000000001</v>
      </c>
      <c r="F272" s="202" t="s">
        <v>1192</v>
      </c>
    </row>
    <row r="273" spans="1:6" ht="36" x14ac:dyDescent="0.2">
      <c r="A273" s="198" t="s">
        <v>752</v>
      </c>
      <c r="B273" s="198" t="s">
        <v>1188</v>
      </c>
      <c r="C273" s="199" t="s">
        <v>1205</v>
      </c>
      <c r="D273" s="200" t="s">
        <v>865</v>
      </c>
      <c r="E273" s="201">
        <v>283.2</v>
      </c>
      <c r="F273" s="202" t="s">
        <v>1177</v>
      </c>
    </row>
    <row r="274" spans="1:6" x14ac:dyDescent="0.2">
      <c r="A274" s="198" t="s">
        <v>752</v>
      </c>
      <c r="B274" s="198" t="s">
        <v>1188</v>
      </c>
      <c r="C274" s="199" t="s">
        <v>1206</v>
      </c>
      <c r="D274" s="200" t="s">
        <v>865</v>
      </c>
      <c r="E274" s="201">
        <v>132.75</v>
      </c>
      <c r="F274" s="202" t="s">
        <v>1192</v>
      </c>
    </row>
    <row r="275" spans="1:6" x14ac:dyDescent="0.2">
      <c r="A275" s="198" t="s">
        <v>752</v>
      </c>
      <c r="B275" s="198" t="s">
        <v>1188</v>
      </c>
      <c r="C275" s="199" t="s">
        <v>1207</v>
      </c>
      <c r="D275" s="200" t="s">
        <v>865</v>
      </c>
      <c r="E275" s="201">
        <v>368.75</v>
      </c>
      <c r="F275" s="202" t="s">
        <v>1192</v>
      </c>
    </row>
    <row r="276" spans="1:6" x14ac:dyDescent="0.2">
      <c r="A276" s="198" t="s">
        <v>752</v>
      </c>
      <c r="B276" s="198" t="s">
        <v>1188</v>
      </c>
      <c r="C276" s="199" t="s">
        <v>1208</v>
      </c>
      <c r="D276" s="200" t="s">
        <v>865</v>
      </c>
      <c r="E276" s="201">
        <v>5546</v>
      </c>
      <c r="F276" s="202" t="s">
        <v>1177</v>
      </c>
    </row>
    <row r="277" spans="1:6" ht="24" x14ac:dyDescent="0.2">
      <c r="A277" s="198" t="s">
        <v>752</v>
      </c>
      <c r="B277" s="198" t="s">
        <v>1188</v>
      </c>
      <c r="C277" s="199" t="s">
        <v>1209</v>
      </c>
      <c r="D277" s="200" t="s">
        <v>865</v>
      </c>
      <c r="E277" s="201">
        <v>1215.4000000000001</v>
      </c>
      <c r="F277" s="202" t="s">
        <v>1177</v>
      </c>
    </row>
    <row r="278" spans="1:6" x14ac:dyDescent="0.2">
      <c r="A278" s="198" t="s">
        <v>752</v>
      </c>
      <c r="B278" s="198" t="s">
        <v>1188</v>
      </c>
      <c r="C278" s="199" t="s">
        <v>1210</v>
      </c>
      <c r="D278" s="200" t="s">
        <v>1211</v>
      </c>
      <c r="E278" s="201">
        <v>139.24</v>
      </c>
      <c r="F278" s="202" t="s">
        <v>533</v>
      </c>
    </row>
    <row r="279" spans="1:6" x14ac:dyDescent="0.2">
      <c r="A279" s="198" t="s">
        <v>752</v>
      </c>
      <c r="B279" s="198" t="s">
        <v>1188</v>
      </c>
      <c r="C279" s="199" t="s">
        <v>1212</v>
      </c>
      <c r="D279" s="200" t="s">
        <v>1211</v>
      </c>
      <c r="E279" s="201">
        <v>194.7</v>
      </c>
      <c r="F279" s="202" t="s">
        <v>533</v>
      </c>
    </row>
    <row r="280" spans="1:6" ht="24" x14ac:dyDescent="0.2">
      <c r="A280" s="198" t="s">
        <v>752</v>
      </c>
      <c r="B280" s="198" t="s">
        <v>1188</v>
      </c>
      <c r="C280" s="199" t="s">
        <v>1213</v>
      </c>
      <c r="D280" s="200" t="s">
        <v>865</v>
      </c>
      <c r="E280" s="201">
        <v>12.803000000000001</v>
      </c>
      <c r="F280" s="202" t="s">
        <v>1192</v>
      </c>
    </row>
    <row r="281" spans="1:6" x14ac:dyDescent="0.2">
      <c r="A281" s="198" t="s">
        <v>752</v>
      </c>
      <c r="B281" s="198" t="s">
        <v>1188</v>
      </c>
      <c r="C281" s="199" t="s">
        <v>1214</v>
      </c>
      <c r="D281" s="200" t="s">
        <v>865</v>
      </c>
      <c r="E281" s="201">
        <v>663.75</v>
      </c>
      <c r="F281" s="202" t="s">
        <v>1192</v>
      </c>
    </row>
    <row r="282" spans="1:6" x14ac:dyDescent="0.2">
      <c r="A282" s="198" t="s">
        <v>752</v>
      </c>
      <c r="B282" s="198" t="s">
        <v>1188</v>
      </c>
      <c r="C282" s="199" t="s">
        <v>1215</v>
      </c>
      <c r="D282" s="200" t="s">
        <v>865</v>
      </c>
      <c r="E282" s="201">
        <v>6149.9943000000003</v>
      </c>
      <c r="F282" s="202" t="s">
        <v>1177</v>
      </c>
    </row>
    <row r="283" spans="1:6" x14ac:dyDescent="0.2">
      <c r="A283" s="88" t="s">
        <v>771</v>
      </c>
      <c r="B283" s="88" t="s">
        <v>1216</v>
      </c>
      <c r="C283" s="89" t="s">
        <v>1217</v>
      </c>
      <c r="D283" s="90" t="s">
        <v>865</v>
      </c>
      <c r="E283" s="91">
        <v>6490</v>
      </c>
      <c r="F283" s="128" t="s">
        <v>1218</v>
      </c>
    </row>
    <row r="284" spans="1:6" x14ac:dyDescent="0.2">
      <c r="A284" s="88" t="s">
        <v>771</v>
      </c>
      <c r="B284" s="88" t="s">
        <v>1216</v>
      </c>
      <c r="C284" s="89" t="s">
        <v>1219</v>
      </c>
      <c r="D284" s="90" t="s">
        <v>865</v>
      </c>
      <c r="E284" s="91">
        <v>6490</v>
      </c>
      <c r="F284" s="128" t="s">
        <v>1218</v>
      </c>
    </row>
    <row r="285" spans="1:6" x14ac:dyDescent="0.2">
      <c r="A285" s="88" t="s">
        <v>771</v>
      </c>
      <c r="B285" s="88" t="s">
        <v>1216</v>
      </c>
      <c r="C285" s="89" t="s">
        <v>1220</v>
      </c>
      <c r="D285" s="90" t="s">
        <v>865</v>
      </c>
      <c r="E285" s="91">
        <v>6490</v>
      </c>
      <c r="F285" s="128" t="s">
        <v>1218</v>
      </c>
    </row>
    <row r="286" spans="1:6" ht="14.1" customHeight="1" x14ac:dyDescent="0.2">
      <c r="A286" s="88" t="s">
        <v>771</v>
      </c>
      <c r="B286" s="88" t="s">
        <v>1216</v>
      </c>
      <c r="C286" s="89" t="s">
        <v>1221</v>
      </c>
      <c r="D286" s="90" t="s">
        <v>865</v>
      </c>
      <c r="E286" s="91">
        <v>6490</v>
      </c>
      <c r="F286" s="128" t="s">
        <v>1218</v>
      </c>
    </row>
    <row r="287" spans="1:6" ht="15" customHeight="1" x14ac:dyDescent="0.2">
      <c r="A287" s="88" t="s">
        <v>771</v>
      </c>
      <c r="B287" s="88" t="s">
        <v>1216</v>
      </c>
      <c r="C287" s="89" t="s">
        <v>1222</v>
      </c>
      <c r="D287" s="90" t="s">
        <v>865</v>
      </c>
      <c r="E287" s="91">
        <v>6490</v>
      </c>
      <c r="F287" s="128" t="s">
        <v>1218</v>
      </c>
    </row>
    <row r="288" spans="1:6" ht="21.75" customHeight="1" x14ac:dyDescent="0.2">
      <c r="A288" s="203" t="s">
        <v>802</v>
      </c>
      <c r="B288" s="203" t="s">
        <v>1223</v>
      </c>
      <c r="C288" s="204" t="s">
        <v>1224</v>
      </c>
      <c r="D288" s="205" t="s">
        <v>865</v>
      </c>
      <c r="E288" s="206">
        <v>2205.7732999999998</v>
      </c>
      <c r="F288" s="207" t="s">
        <v>1225</v>
      </c>
    </row>
    <row r="289" spans="1:6" ht="15.95" customHeight="1" x14ac:dyDescent="0.2">
      <c r="A289" s="203" t="s">
        <v>802</v>
      </c>
      <c r="B289" s="203" t="s">
        <v>1223</v>
      </c>
      <c r="C289" s="204" t="s">
        <v>1226</v>
      </c>
      <c r="D289" s="205" t="s">
        <v>865</v>
      </c>
      <c r="E289" s="206">
        <v>501.5</v>
      </c>
      <c r="F289" s="207" t="s">
        <v>1225</v>
      </c>
    </row>
    <row r="290" spans="1:6" x14ac:dyDescent="0.2">
      <c r="A290" s="203" t="s">
        <v>802</v>
      </c>
      <c r="B290" s="203" t="s">
        <v>1223</v>
      </c>
      <c r="C290" s="204" t="s">
        <v>1227</v>
      </c>
      <c r="D290" s="205" t="s">
        <v>865</v>
      </c>
      <c r="E290" s="206">
        <v>442.5</v>
      </c>
      <c r="F290" s="207" t="s">
        <v>1225</v>
      </c>
    </row>
    <row r="291" spans="1:6" ht="14.1" customHeight="1" x14ac:dyDescent="0.2">
      <c r="A291" s="203" t="s">
        <v>802</v>
      </c>
      <c r="B291" s="203" t="s">
        <v>1223</v>
      </c>
      <c r="C291" s="204" t="s">
        <v>1228</v>
      </c>
      <c r="D291" s="205" t="s">
        <v>865</v>
      </c>
      <c r="E291" s="206">
        <v>531</v>
      </c>
      <c r="F291" s="207" t="s">
        <v>1225</v>
      </c>
    </row>
    <row r="292" spans="1:6" x14ac:dyDescent="0.2">
      <c r="A292" s="203" t="s">
        <v>802</v>
      </c>
      <c r="B292" s="203" t="s">
        <v>1223</v>
      </c>
      <c r="C292" s="204" t="s">
        <v>1229</v>
      </c>
      <c r="D292" s="205" t="s">
        <v>865</v>
      </c>
      <c r="E292" s="206">
        <v>796.5</v>
      </c>
      <c r="F292" s="207" t="s">
        <v>1225</v>
      </c>
    </row>
    <row r="293" spans="1:6" ht="17.25" customHeight="1" x14ac:dyDescent="0.2">
      <c r="A293" s="203" t="s">
        <v>802</v>
      </c>
      <c r="B293" s="203" t="s">
        <v>1223</v>
      </c>
      <c r="C293" s="204" t="s">
        <v>1230</v>
      </c>
      <c r="D293" s="205" t="s">
        <v>865</v>
      </c>
      <c r="E293" s="206">
        <v>5640.4</v>
      </c>
      <c r="F293" s="207" t="s">
        <v>1225</v>
      </c>
    </row>
    <row r="294" spans="1:6" ht="30.75" customHeight="1" x14ac:dyDescent="0.2">
      <c r="A294" s="203" t="s">
        <v>802</v>
      </c>
      <c r="B294" s="203" t="s">
        <v>1223</v>
      </c>
      <c r="C294" s="204" t="s">
        <v>1231</v>
      </c>
      <c r="D294" s="205" t="s">
        <v>865</v>
      </c>
      <c r="E294" s="206">
        <v>5640.4</v>
      </c>
      <c r="F294" s="207" t="s">
        <v>1225</v>
      </c>
    </row>
    <row r="295" spans="1:6" ht="24" x14ac:dyDescent="0.2">
      <c r="A295" s="203" t="s">
        <v>802</v>
      </c>
      <c r="B295" s="203" t="s">
        <v>1223</v>
      </c>
      <c r="C295" s="204" t="s">
        <v>1232</v>
      </c>
      <c r="D295" s="205" t="s">
        <v>865</v>
      </c>
      <c r="E295" s="206">
        <v>5640.4</v>
      </c>
      <c r="F295" s="207" t="s">
        <v>1225</v>
      </c>
    </row>
    <row r="296" spans="1:6" ht="29.25" customHeight="1" x14ac:dyDescent="0.2">
      <c r="A296" s="203" t="s">
        <v>802</v>
      </c>
      <c r="B296" s="203" t="s">
        <v>1223</v>
      </c>
      <c r="C296" s="204" t="s">
        <v>1233</v>
      </c>
      <c r="D296" s="205" t="s">
        <v>865</v>
      </c>
      <c r="E296" s="206">
        <v>4366</v>
      </c>
      <c r="F296" s="207" t="s">
        <v>1225</v>
      </c>
    </row>
    <row r="297" spans="1:6" ht="28.5" customHeight="1" x14ac:dyDescent="0.2">
      <c r="A297" s="203" t="s">
        <v>802</v>
      </c>
      <c r="B297" s="203" t="s">
        <v>1223</v>
      </c>
      <c r="C297" s="204" t="s">
        <v>1234</v>
      </c>
      <c r="D297" s="205" t="s">
        <v>865</v>
      </c>
      <c r="E297" s="206">
        <v>15611.4</v>
      </c>
      <c r="F297" s="207" t="s">
        <v>1225</v>
      </c>
    </row>
    <row r="298" spans="1:6" ht="28.5" customHeight="1" x14ac:dyDescent="0.2">
      <c r="A298" s="203" t="s">
        <v>802</v>
      </c>
      <c r="B298" s="203" t="s">
        <v>1223</v>
      </c>
      <c r="C298" s="204" t="s">
        <v>1235</v>
      </c>
      <c r="D298" s="205" t="s">
        <v>865</v>
      </c>
      <c r="E298" s="206">
        <v>179.15</v>
      </c>
      <c r="F298" s="207" t="s">
        <v>1225</v>
      </c>
    </row>
    <row r="299" spans="1:6" ht="22.5" customHeight="1" x14ac:dyDescent="0.2">
      <c r="A299" s="203" t="s">
        <v>802</v>
      </c>
      <c r="B299" s="203" t="s">
        <v>1223</v>
      </c>
      <c r="C299" s="204" t="s">
        <v>1236</v>
      </c>
      <c r="D299" s="205" t="s">
        <v>865</v>
      </c>
      <c r="E299" s="206">
        <v>194.7</v>
      </c>
      <c r="F299" s="207" t="s">
        <v>1225</v>
      </c>
    </row>
    <row r="300" spans="1:6" x14ac:dyDescent="0.2">
      <c r="A300" s="203" t="s">
        <v>802</v>
      </c>
      <c r="B300" s="203" t="s">
        <v>1223</v>
      </c>
      <c r="C300" s="204" t="s">
        <v>1237</v>
      </c>
      <c r="D300" s="205" t="s">
        <v>865</v>
      </c>
      <c r="E300" s="206">
        <v>672.6</v>
      </c>
      <c r="F300" s="207" t="s">
        <v>1225</v>
      </c>
    </row>
    <row r="301" spans="1:6" x14ac:dyDescent="0.2">
      <c r="A301" s="203" t="s">
        <v>802</v>
      </c>
      <c r="B301" s="203" t="s">
        <v>1223</v>
      </c>
      <c r="C301" s="204" t="s">
        <v>1238</v>
      </c>
      <c r="D301" s="205" t="s">
        <v>865</v>
      </c>
      <c r="E301" s="206">
        <v>20650</v>
      </c>
      <c r="F301" s="207" t="s">
        <v>1225</v>
      </c>
    </row>
    <row r="302" spans="1:6" x14ac:dyDescent="0.2">
      <c r="A302" s="203" t="s">
        <v>802</v>
      </c>
      <c r="B302" s="203" t="s">
        <v>1223</v>
      </c>
      <c r="C302" s="204" t="s">
        <v>1239</v>
      </c>
      <c r="D302" s="205" t="s">
        <v>865</v>
      </c>
      <c r="E302" s="206">
        <v>4661</v>
      </c>
      <c r="F302" s="207" t="s">
        <v>1225</v>
      </c>
    </row>
    <row r="303" spans="1:6" x14ac:dyDescent="0.2">
      <c r="A303" s="203" t="s">
        <v>802</v>
      </c>
      <c r="B303" s="203" t="s">
        <v>1223</v>
      </c>
      <c r="C303" s="204" t="s">
        <v>1240</v>
      </c>
      <c r="D303" s="205" t="s">
        <v>865</v>
      </c>
      <c r="E303" s="206">
        <v>525.1</v>
      </c>
      <c r="F303" s="207" t="s">
        <v>1225</v>
      </c>
    </row>
    <row r="304" spans="1:6" x14ac:dyDescent="0.2">
      <c r="A304" s="203" t="s">
        <v>802</v>
      </c>
      <c r="B304" s="203" t="s">
        <v>1223</v>
      </c>
      <c r="C304" s="204" t="s">
        <v>1241</v>
      </c>
      <c r="D304" s="205" t="s">
        <v>865</v>
      </c>
      <c r="E304" s="206">
        <v>6384.19</v>
      </c>
      <c r="F304" s="207" t="s">
        <v>1225</v>
      </c>
    </row>
    <row r="305" spans="1:6" ht="21" customHeight="1" x14ac:dyDescent="0.2">
      <c r="A305" s="203" t="s">
        <v>802</v>
      </c>
      <c r="B305" s="203" t="s">
        <v>1223</v>
      </c>
      <c r="C305" s="204" t="s">
        <v>1242</v>
      </c>
      <c r="D305" s="205" t="s">
        <v>865</v>
      </c>
      <c r="E305" s="206">
        <v>899.04330000000004</v>
      </c>
      <c r="F305" s="207" t="s">
        <v>1225</v>
      </c>
    </row>
    <row r="306" spans="1:6" ht="29.25" customHeight="1" x14ac:dyDescent="0.2">
      <c r="A306" s="203" t="s">
        <v>802</v>
      </c>
      <c r="B306" s="203" t="s">
        <v>1223</v>
      </c>
      <c r="C306" s="204" t="s">
        <v>1243</v>
      </c>
      <c r="D306" s="205" t="s">
        <v>865</v>
      </c>
      <c r="E306" s="206">
        <v>348.1</v>
      </c>
      <c r="F306" s="207" t="s">
        <v>1225</v>
      </c>
    </row>
    <row r="307" spans="1:6" ht="28.5" customHeight="1" x14ac:dyDescent="0.2">
      <c r="A307" s="203" t="s">
        <v>802</v>
      </c>
      <c r="B307" s="203" t="s">
        <v>1223</v>
      </c>
      <c r="C307" s="204" t="s">
        <v>1244</v>
      </c>
      <c r="D307" s="205" t="s">
        <v>865</v>
      </c>
      <c r="E307" s="206">
        <v>147.5</v>
      </c>
      <c r="F307" s="207" t="s">
        <v>1225</v>
      </c>
    </row>
    <row r="308" spans="1:6" ht="32.25" customHeight="1" x14ac:dyDescent="0.2">
      <c r="A308" s="203" t="s">
        <v>802</v>
      </c>
      <c r="B308" s="203" t="s">
        <v>1223</v>
      </c>
      <c r="C308" s="204" t="s">
        <v>1245</v>
      </c>
      <c r="D308" s="205" t="s">
        <v>865</v>
      </c>
      <c r="E308" s="206">
        <v>11210</v>
      </c>
      <c r="F308" s="207" t="s">
        <v>1225</v>
      </c>
    </row>
    <row r="309" spans="1:6" ht="24" x14ac:dyDescent="0.2">
      <c r="A309" s="203" t="s">
        <v>802</v>
      </c>
      <c r="B309" s="203" t="s">
        <v>1223</v>
      </c>
      <c r="C309" s="204" t="s">
        <v>1246</v>
      </c>
      <c r="D309" s="205" t="s">
        <v>865</v>
      </c>
      <c r="E309" s="206">
        <v>1333.4</v>
      </c>
      <c r="F309" s="207" t="s">
        <v>1225</v>
      </c>
    </row>
    <row r="310" spans="1:6" x14ac:dyDescent="0.2">
      <c r="A310" s="208" t="s">
        <v>758</v>
      </c>
      <c r="B310" s="208" t="s">
        <v>1247</v>
      </c>
      <c r="C310" s="209" t="s">
        <v>1248</v>
      </c>
      <c r="D310" s="210" t="s">
        <v>865</v>
      </c>
      <c r="E310" s="211">
        <v>939.75</v>
      </c>
      <c r="F310" s="212" t="s">
        <v>1249</v>
      </c>
    </row>
    <row r="311" spans="1:6" ht="22.5" customHeight="1" x14ac:dyDescent="0.2">
      <c r="A311" s="208" t="s">
        <v>758</v>
      </c>
      <c r="B311" s="208" t="s">
        <v>1247</v>
      </c>
      <c r="C311" s="209" t="s">
        <v>1250</v>
      </c>
      <c r="D311" s="210" t="s">
        <v>865</v>
      </c>
      <c r="E311" s="211">
        <v>590</v>
      </c>
      <c r="F311" s="212" t="s">
        <v>1249</v>
      </c>
    </row>
    <row r="312" spans="1:6" x14ac:dyDescent="0.2">
      <c r="A312" s="208" t="s">
        <v>758</v>
      </c>
      <c r="B312" s="208" t="s">
        <v>1247</v>
      </c>
      <c r="C312" s="209" t="s">
        <v>1251</v>
      </c>
      <c r="D312" s="210" t="s">
        <v>865</v>
      </c>
      <c r="E312" s="211">
        <v>761.25</v>
      </c>
      <c r="F312" s="212" t="s">
        <v>1249</v>
      </c>
    </row>
    <row r="313" spans="1:6" x14ac:dyDescent="0.2">
      <c r="A313" s="208" t="s">
        <v>758</v>
      </c>
      <c r="B313" s="208" t="s">
        <v>1247</v>
      </c>
      <c r="C313" s="213" t="s">
        <v>1251</v>
      </c>
      <c r="D313" s="214" t="s">
        <v>865</v>
      </c>
      <c r="E313" s="215">
        <v>761.25</v>
      </c>
      <c r="F313" s="216" t="s">
        <v>1252</v>
      </c>
    </row>
    <row r="314" spans="1:6" ht="26.25" customHeight="1" x14ac:dyDescent="0.2">
      <c r="A314" s="208" t="s">
        <v>758</v>
      </c>
      <c r="B314" s="208" t="s">
        <v>1247</v>
      </c>
      <c r="C314" s="213" t="s">
        <v>1253</v>
      </c>
      <c r="D314" s="214" t="s">
        <v>865</v>
      </c>
      <c r="E314" s="215">
        <v>309.75</v>
      </c>
      <c r="F314" s="216" t="s">
        <v>1252</v>
      </c>
    </row>
    <row r="315" spans="1:6" ht="18" customHeight="1" x14ac:dyDescent="0.2">
      <c r="A315" s="208" t="s">
        <v>758</v>
      </c>
      <c r="B315" s="208" t="s">
        <v>1247</v>
      </c>
      <c r="C315" s="209" t="s">
        <v>1254</v>
      </c>
      <c r="D315" s="210" t="s">
        <v>865</v>
      </c>
      <c r="E315" s="211">
        <v>270.48</v>
      </c>
      <c r="F315" s="216" t="s">
        <v>1252</v>
      </c>
    </row>
    <row r="316" spans="1:6" x14ac:dyDescent="0.2">
      <c r="A316" s="208" t="s">
        <v>758</v>
      </c>
      <c r="B316" s="208" t="s">
        <v>1247</v>
      </c>
      <c r="C316" s="209" t="s">
        <v>1255</v>
      </c>
      <c r="D316" s="210" t="s">
        <v>865</v>
      </c>
      <c r="E316" s="211">
        <v>229.21530000000001</v>
      </c>
      <c r="F316" s="212" t="s">
        <v>1249</v>
      </c>
    </row>
    <row r="317" spans="1:6" x14ac:dyDescent="0.2">
      <c r="A317" s="208" t="s">
        <v>758</v>
      </c>
      <c r="B317" s="208" t="s">
        <v>1247</v>
      </c>
      <c r="C317" s="209" t="s">
        <v>1256</v>
      </c>
      <c r="D317" s="210" t="s">
        <v>865</v>
      </c>
      <c r="E317" s="211">
        <v>194.25</v>
      </c>
      <c r="F317" s="216" t="s">
        <v>1252</v>
      </c>
    </row>
    <row r="318" spans="1:6" x14ac:dyDescent="0.2">
      <c r="A318" s="208" t="s">
        <v>758</v>
      </c>
      <c r="B318" s="208" t="s">
        <v>1247</v>
      </c>
      <c r="C318" s="209" t="s">
        <v>1257</v>
      </c>
      <c r="D318" s="210" t="s">
        <v>865</v>
      </c>
      <c r="E318" s="211">
        <v>414.75</v>
      </c>
      <c r="F318" s="212" t="s">
        <v>1249</v>
      </c>
    </row>
    <row r="319" spans="1:6" x14ac:dyDescent="0.2">
      <c r="A319" s="208" t="s">
        <v>758</v>
      </c>
      <c r="B319" s="208" t="s">
        <v>1247</v>
      </c>
      <c r="C319" s="209" t="s">
        <v>1258</v>
      </c>
      <c r="D319" s="210" t="s">
        <v>865</v>
      </c>
      <c r="E319" s="211">
        <v>414.75</v>
      </c>
      <c r="F319" s="216" t="s">
        <v>1252</v>
      </c>
    </row>
    <row r="320" spans="1:6" x14ac:dyDescent="0.2">
      <c r="A320" s="208" t="s">
        <v>758</v>
      </c>
      <c r="B320" s="208" t="s">
        <v>1247</v>
      </c>
      <c r="C320" s="213" t="s">
        <v>1259</v>
      </c>
      <c r="D320" s="214" t="s">
        <v>865</v>
      </c>
      <c r="E320" s="215">
        <v>3669.75</v>
      </c>
      <c r="F320" s="216" t="s">
        <v>1252</v>
      </c>
    </row>
    <row r="321" spans="1:6" x14ac:dyDescent="0.2">
      <c r="A321" s="208" t="s">
        <v>758</v>
      </c>
      <c r="B321" s="208" t="s">
        <v>1247</v>
      </c>
      <c r="C321" s="209" t="s">
        <v>1260</v>
      </c>
      <c r="D321" s="210" t="s">
        <v>1261</v>
      </c>
      <c r="E321" s="211">
        <v>866.25</v>
      </c>
      <c r="F321" s="216" t="s">
        <v>1252</v>
      </c>
    </row>
    <row r="322" spans="1:6" ht="24" x14ac:dyDescent="0.2">
      <c r="A322" s="208" t="s">
        <v>758</v>
      </c>
      <c r="B322" s="208" t="s">
        <v>1247</v>
      </c>
      <c r="C322" s="209" t="s">
        <v>1262</v>
      </c>
      <c r="D322" s="210" t="s">
        <v>865</v>
      </c>
      <c r="E322" s="211">
        <v>8096</v>
      </c>
      <c r="F322" s="216" t="s">
        <v>1252</v>
      </c>
    </row>
    <row r="323" spans="1:6" ht="24" x14ac:dyDescent="0.2">
      <c r="A323" s="208" t="s">
        <v>758</v>
      </c>
      <c r="B323" s="208" t="s">
        <v>1247</v>
      </c>
      <c r="C323" s="209" t="s">
        <v>1263</v>
      </c>
      <c r="D323" s="210" t="s">
        <v>865</v>
      </c>
      <c r="E323" s="211">
        <v>8000</v>
      </c>
      <c r="F323" s="216" t="s">
        <v>1252</v>
      </c>
    </row>
    <row r="324" spans="1:6" x14ac:dyDescent="0.2">
      <c r="A324" s="208" t="s">
        <v>758</v>
      </c>
      <c r="B324" s="208" t="s">
        <v>1247</v>
      </c>
      <c r="C324" s="213" t="s">
        <v>1264</v>
      </c>
      <c r="D324" s="214" t="s">
        <v>865</v>
      </c>
      <c r="E324" s="215">
        <v>167.27</v>
      </c>
      <c r="F324" s="216" t="s">
        <v>1252</v>
      </c>
    </row>
    <row r="325" spans="1:6" ht="30.75" customHeight="1" x14ac:dyDescent="0.2">
      <c r="A325" s="208" t="s">
        <v>758</v>
      </c>
      <c r="B325" s="208" t="s">
        <v>1247</v>
      </c>
      <c r="C325" s="209" t="s">
        <v>1265</v>
      </c>
      <c r="D325" s="210" t="s">
        <v>865</v>
      </c>
      <c r="E325" s="211">
        <v>402.67669999999998</v>
      </c>
      <c r="F325" s="212" t="s">
        <v>1249</v>
      </c>
    </row>
    <row r="326" spans="1:6" x14ac:dyDescent="0.2">
      <c r="A326" s="208" t="s">
        <v>758</v>
      </c>
      <c r="B326" s="208" t="s">
        <v>1247</v>
      </c>
      <c r="C326" s="209" t="s">
        <v>1266</v>
      </c>
      <c r="D326" s="210" t="s">
        <v>865</v>
      </c>
      <c r="E326" s="211">
        <v>600.9153</v>
      </c>
      <c r="F326" s="212" t="s">
        <v>1249</v>
      </c>
    </row>
    <row r="327" spans="1:6" x14ac:dyDescent="0.2">
      <c r="A327" s="208" t="s">
        <v>758</v>
      </c>
      <c r="B327" s="208" t="s">
        <v>1247</v>
      </c>
      <c r="C327" s="209" t="s">
        <v>1267</v>
      </c>
      <c r="D327" s="210" t="s">
        <v>1261</v>
      </c>
      <c r="E327" s="211">
        <v>489.40600000000001</v>
      </c>
      <c r="F327" s="216" t="s">
        <v>1252</v>
      </c>
    </row>
    <row r="328" spans="1:6" ht="24.75" customHeight="1" x14ac:dyDescent="0.2">
      <c r="A328" s="208" t="s">
        <v>758</v>
      </c>
      <c r="B328" s="208" t="s">
        <v>1247</v>
      </c>
      <c r="C328" s="209" t="s">
        <v>1268</v>
      </c>
      <c r="D328" s="210" t="s">
        <v>865</v>
      </c>
      <c r="E328" s="211">
        <v>455.48</v>
      </c>
      <c r="F328" s="212" t="s">
        <v>1249</v>
      </c>
    </row>
    <row r="329" spans="1:6" ht="24" x14ac:dyDescent="0.2">
      <c r="A329" s="88" t="s">
        <v>774</v>
      </c>
      <c r="B329" s="88" t="s">
        <v>1269</v>
      </c>
      <c r="C329" s="89" t="s">
        <v>1270</v>
      </c>
      <c r="D329" s="90" t="s">
        <v>865</v>
      </c>
      <c r="E329" s="91">
        <v>6490</v>
      </c>
      <c r="F329" s="128" t="s">
        <v>1271</v>
      </c>
    </row>
    <row r="330" spans="1:6" ht="24" x14ac:dyDescent="0.2">
      <c r="A330" s="88" t="s">
        <v>1272</v>
      </c>
      <c r="B330" s="88" t="s">
        <v>1273</v>
      </c>
      <c r="C330" s="89" t="s">
        <v>1274</v>
      </c>
      <c r="D330" s="90" t="s">
        <v>1031</v>
      </c>
      <c r="E330" s="91">
        <v>460.2</v>
      </c>
      <c r="F330" s="128" t="s">
        <v>1275</v>
      </c>
    </row>
    <row r="331" spans="1:6" ht="36" x14ac:dyDescent="0.2">
      <c r="A331" s="88" t="s">
        <v>669</v>
      </c>
      <c r="B331" s="88" t="s">
        <v>1276</v>
      </c>
      <c r="C331" s="89" t="s">
        <v>1277</v>
      </c>
      <c r="D331" s="90" t="s">
        <v>1278</v>
      </c>
      <c r="E331" s="91">
        <v>44877.760000000002</v>
      </c>
      <c r="F331" s="128" t="s">
        <v>1279</v>
      </c>
    </row>
    <row r="332" spans="1:6" x14ac:dyDescent="0.2">
      <c r="A332" s="92" t="s">
        <v>727</v>
      </c>
      <c r="B332" s="92" t="s">
        <v>1280</v>
      </c>
      <c r="C332" s="89" t="s">
        <v>1281</v>
      </c>
      <c r="D332" s="90" t="s">
        <v>1282</v>
      </c>
      <c r="E332" s="91">
        <v>3000</v>
      </c>
      <c r="F332" s="128" t="s">
        <v>1283</v>
      </c>
    </row>
    <row r="333" spans="1:6" ht="24" x14ac:dyDescent="0.2">
      <c r="A333" s="217" t="s">
        <v>1284</v>
      </c>
      <c r="B333" s="217" t="s">
        <v>1285</v>
      </c>
      <c r="C333" s="218" t="s">
        <v>1286</v>
      </c>
      <c r="D333" s="219" t="s">
        <v>865</v>
      </c>
      <c r="E333" s="220">
        <v>23562.5</v>
      </c>
      <c r="F333" s="221" t="s">
        <v>1287</v>
      </c>
    </row>
    <row r="334" spans="1:6" ht="24" x14ac:dyDescent="0.2">
      <c r="A334" s="217" t="s">
        <v>1284</v>
      </c>
      <c r="B334" s="217" t="s">
        <v>1285</v>
      </c>
      <c r="C334" s="218" t="s">
        <v>1288</v>
      </c>
      <c r="D334" s="219" t="s">
        <v>865</v>
      </c>
      <c r="E334" s="220">
        <v>102660</v>
      </c>
      <c r="F334" s="221" t="s">
        <v>1287</v>
      </c>
    </row>
    <row r="335" spans="1:6" ht="20.25" customHeight="1" x14ac:dyDescent="0.2">
      <c r="A335" s="222" t="s">
        <v>1289</v>
      </c>
      <c r="B335" s="222" t="s">
        <v>1290</v>
      </c>
      <c r="C335" s="223" t="s">
        <v>1291</v>
      </c>
      <c r="D335" s="224" t="s">
        <v>865</v>
      </c>
      <c r="E335" s="225">
        <v>590</v>
      </c>
      <c r="F335" s="226" t="s">
        <v>1292</v>
      </c>
    </row>
    <row r="336" spans="1:6" ht="15" customHeight="1" x14ac:dyDescent="0.2">
      <c r="A336" s="222" t="s">
        <v>1289</v>
      </c>
      <c r="B336" s="222" t="s">
        <v>1290</v>
      </c>
      <c r="C336" s="223" t="s">
        <v>1293</v>
      </c>
      <c r="D336" s="224" t="s">
        <v>865</v>
      </c>
      <c r="E336" s="225">
        <v>2124</v>
      </c>
      <c r="F336" s="226" t="s">
        <v>1292</v>
      </c>
    </row>
    <row r="337" spans="1:6" ht="14.1" customHeight="1" x14ac:dyDescent="0.2">
      <c r="A337" s="222" t="s">
        <v>1289</v>
      </c>
      <c r="B337" s="222" t="s">
        <v>1290</v>
      </c>
      <c r="C337" s="223" t="s">
        <v>1294</v>
      </c>
      <c r="D337" s="224" t="s">
        <v>1295</v>
      </c>
      <c r="E337" s="225">
        <v>2832</v>
      </c>
      <c r="F337" s="226" t="s">
        <v>1292</v>
      </c>
    </row>
    <row r="338" spans="1:6" x14ac:dyDescent="0.2">
      <c r="A338" s="222" t="s">
        <v>1289</v>
      </c>
      <c r="B338" s="222" t="s">
        <v>1290</v>
      </c>
      <c r="C338" s="223" t="s">
        <v>1296</v>
      </c>
      <c r="D338" s="224" t="s">
        <v>1295</v>
      </c>
      <c r="E338" s="225">
        <v>2548.8000000000002</v>
      </c>
      <c r="F338" s="226" t="s">
        <v>1292</v>
      </c>
    </row>
    <row r="339" spans="1:6" ht="15" customHeight="1" x14ac:dyDescent="0.2">
      <c r="A339" s="222" t="s">
        <v>1289</v>
      </c>
      <c r="B339" s="222" t="s">
        <v>1290</v>
      </c>
      <c r="C339" s="223" t="s">
        <v>1297</v>
      </c>
      <c r="D339" s="224" t="s">
        <v>1295</v>
      </c>
      <c r="E339" s="225">
        <v>2360</v>
      </c>
      <c r="F339" s="226" t="s">
        <v>1292</v>
      </c>
    </row>
    <row r="340" spans="1:6" ht="24" x14ac:dyDescent="0.2">
      <c r="A340" s="222" t="s">
        <v>1289</v>
      </c>
      <c r="B340" s="222" t="s">
        <v>1290</v>
      </c>
      <c r="C340" s="223" t="s">
        <v>1298</v>
      </c>
      <c r="D340" s="224" t="s">
        <v>1295</v>
      </c>
      <c r="E340" s="225">
        <v>2360</v>
      </c>
      <c r="F340" s="226" t="s">
        <v>1292</v>
      </c>
    </row>
    <row r="341" spans="1:6" x14ac:dyDescent="0.2">
      <c r="A341" s="222" t="s">
        <v>1289</v>
      </c>
      <c r="B341" s="222" t="s">
        <v>1290</v>
      </c>
      <c r="C341" s="223" t="s">
        <v>1299</v>
      </c>
      <c r="D341" s="224" t="s">
        <v>1295</v>
      </c>
      <c r="E341" s="225">
        <v>708</v>
      </c>
      <c r="F341" s="226" t="s">
        <v>1292</v>
      </c>
    </row>
    <row r="342" spans="1:6" x14ac:dyDescent="0.2">
      <c r="A342" s="222" t="s">
        <v>1289</v>
      </c>
      <c r="B342" s="222" t="s">
        <v>1290</v>
      </c>
      <c r="C342" s="223" t="s">
        <v>1300</v>
      </c>
      <c r="D342" s="224" t="s">
        <v>865</v>
      </c>
      <c r="E342" s="225">
        <v>7670</v>
      </c>
      <c r="F342" s="226" t="s">
        <v>1292</v>
      </c>
    </row>
    <row r="343" spans="1:6" ht="24" x14ac:dyDescent="0.2">
      <c r="A343" s="222" t="s">
        <v>1289</v>
      </c>
      <c r="B343" s="222" t="s">
        <v>1290</v>
      </c>
      <c r="C343" s="223" t="s">
        <v>1301</v>
      </c>
      <c r="D343" s="224" t="s">
        <v>1295</v>
      </c>
      <c r="E343" s="225">
        <v>2548.8000000000002</v>
      </c>
      <c r="F343" s="226" t="s">
        <v>1292</v>
      </c>
    </row>
    <row r="344" spans="1:6" ht="24" x14ac:dyDescent="0.2">
      <c r="A344" s="222" t="s">
        <v>1289</v>
      </c>
      <c r="B344" s="222" t="s">
        <v>1290</v>
      </c>
      <c r="C344" s="223" t="s">
        <v>1302</v>
      </c>
      <c r="D344" s="224" t="s">
        <v>865</v>
      </c>
      <c r="E344" s="225">
        <v>2360</v>
      </c>
      <c r="F344" s="226" t="s">
        <v>1292</v>
      </c>
    </row>
    <row r="345" spans="1:6" ht="24" x14ac:dyDescent="0.2">
      <c r="A345" s="222" t="s">
        <v>1289</v>
      </c>
      <c r="B345" s="222" t="s">
        <v>1290</v>
      </c>
      <c r="C345" s="223" t="s">
        <v>1303</v>
      </c>
      <c r="D345" s="224" t="s">
        <v>865</v>
      </c>
      <c r="E345" s="225">
        <v>1770</v>
      </c>
      <c r="F345" s="226" t="s">
        <v>1292</v>
      </c>
    </row>
    <row r="346" spans="1:6" x14ac:dyDescent="0.2">
      <c r="A346" s="222" t="s">
        <v>1289</v>
      </c>
      <c r="B346" s="222" t="s">
        <v>1290</v>
      </c>
      <c r="C346" s="223" t="s">
        <v>1304</v>
      </c>
      <c r="D346" s="224" t="s">
        <v>865</v>
      </c>
      <c r="E346" s="225">
        <v>1121</v>
      </c>
      <c r="F346" s="226" t="s">
        <v>1292</v>
      </c>
    </row>
    <row r="347" spans="1:6" x14ac:dyDescent="0.2">
      <c r="A347" s="227" t="s">
        <v>1305</v>
      </c>
      <c r="B347" s="227" t="s">
        <v>1306</v>
      </c>
      <c r="C347" s="228" t="s">
        <v>1307</v>
      </c>
      <c r="D347" s="229" t="s">
        <v>865</v>
      </c>
      <c r="E347" s="230">
        <v>1770</v>
      </c>
      <c r="F347" s="231" t="s">
        <v>1308</v>
      </c>
    </row>
    <row r="348" spans="1:6" ht="24" x14ac:dyDescent="0.2">
      <c r="A348" s="227" t="s">
        <v>1305</v>
      </c>
      <c r="B348" s="227" t="s">
        <v>1306</v>
      </c>
      <c r="C348" s="228" t="s">
        <v>1309</v>
      </c>
      <c r="D348" s="229" t="s">
        <v>865</v>
      </c>
      <c r="E348" s="230">
        <v>1062</v>
      </c>
      <c r="F348" s="231" t="s">
        <v>1308</v>
      </c>
    </row>
    <row r="349" spans="1:6" x14ac:dyDescent="0.2">
      <c r="A349" s="227" t="s">
        <v>1305</v>
      </c>
      <c r="B349" s="227" t="s">
        <v>1306</v>
      </c>
      <c r="C349" s="228" t="s">
        <v>1310</v>
      </c>
      <c r="D349" s="229" t="s">
        <v>865</v>
      </c>
      <c r="E349" s="230">
        <v>420.55200000000002</v>
      </c>
      <c r="F349" s="231" t="s">
        <v>1308</v>
      </c>
    </row>
    <row r="350" spans="1:6" x14ac:dyDescent="0.2">
      <c r="A350" s="227" t="s">
        <v>1305</v>
      </c>
      <c r="B350" s="227" t="s">
        <v>1306</v>
      </c>
      <c r="C350" s="228" t="s">
        <v>1311</v>
      </c>
      <c r="D350" s="229" t="s">
        <v>865</v>
      </c>
      <c r="E350" s="230">
        <v>420.73</v>
      </c>
      <c r="F350" s="231" t="s">
        <v>1308</v>
      </c>
    </row>
    <row r="351" spans="1:6" ht="24" x14ac:dyDescent="0.2">
      <c r="A351" s="227" t="s">
        <v>1305</v>
      </c>
      <c r="B351" s="227" t="s">
        <v>1306</v>
      </c>
      <c r="C351" s="228" t="s">
        <v>1312</v>
      </c>
      <c r="D351" s="229" t="s">
        <v>865</v>
      </c>
      <c r="E351" s="230">
        <v>1379.48</v>
      </c>
      <c r="F351" s="231" t="s">
        <v>1308</v>
      </c>
    </row>
    <row r="352" spans="1:6" ht="24" x14ac:dyDescent="0.2">
      <c r="A352" s="227" t="s">
        <v>1305</v>
      </c>
      <c r="B352" s="227" t="s">
        <v>1306</v>
      </c>
      <c r="C352" s="228" t="s">
        <v>1312</v>
      </c>
      <c r="D352" s="229" t="s">
        <v>865</v>
      </c>
      <c r="E352" s="230">
        <v>486.69200000000001</v>
      </c>
      <c r="F352" s="231" t="s">
        <v>1308</v>
      </c>
    </row>
    <row r="353" spans="1:6" ht="24" x14ac:dyDescent="0.2">
      <c r="A353" s="227" t="s">
        <v>1305</v>
      </c>
      <c r="B353" s="227" t="s">
        <v>1306</v>
      </c>
      <c r="C353" s="228" t="s">
        <v>1313</v>
      </c>
      <c r="D353" s="229" t="s">
        <v>865</v>
      </c>
      <c r="E353" s="230">
        <v>420.09199999999998</v>
      </c>
      <c r="F353" s="231" t="s">
        <v>1308</v>
      </c>
    </row>
    <row r="354" spans="1:6" ht="24" x14ac:dyDescent="0.2">
      <c r="A354" s="227" t="s">
        <v>1305</v>
      </c>
      <c r="B354" s="227" t="s">
        <v>1306</v>
      </c>
      <c r="C354" s="228" t="s">
        <v>1314</v>
      </c>
      <c r="D354" s="229" t="s">
        <v>865</v>
      </c>
      <c r="E354" s="230">
        <v>422.358</v>
      </c>
      <c r="F354" s="231" t="s">
        <v>1308</v>
      </c>
    </row>
    <row r="355" spans="1:6" ht="15" customHeight="1" x14ac:dyDescent="0.2">
      <c r="A355" s="227" t="s">
        <v>1305</v>
      </c>
      <c r="B355" s="227" t="s">
        <v>1306</v>
      </c>
      <c r="C355" s="228" t="s">
        <v>1315</v>
      </c>
      <c r="D355" s="229" t="s">
        <v>865</v>
      </c>
      <c r="E355" s="230">
        <v>422.44</v>
      </c>
      <c r="F355" s="231" t="s">
        <v>1308</v>
      </c>
    </row>
    <row r="356" spans="1:6" ht="24" x14ac:dyDescent="0.2">
      <c r="A356" s="227" t="s">
        <v>1305</v>
      </c>
      <c r="B356" s="227" t="s">
        <v>1306</v>
      </c>
      <c r="C356" s="228" t="s">
        <v>1316</v>
      </c>
      <c r="D356" s="229" t="s">
        <v>865</v>
      </c>
      <c r="E356" s="230">
        <v>422.62799999999999</v>
      </c>
      <c r="F356" s="231" t="s">
        <v>1308</v>
      </c>
    </row>
    <row r="357" spans="1:6" ht="14.1" customHeight="1" x14ac:dyDescent="0.2">
      <c r="A357" s="227" t="s">
        <v>1305</v>
      </c>
      <c r="B357" s="227" t="s">
        <v>1306</v>
      </c>
      <c r="C357" s="228" t="s">
        <v>1317</v>
      </c>
      <c r="D357" s="229" t="s">
        <v>865</v>
      </c>
      <c r="E357" s="230">
        <v>810.41200000000003</v>
      </c>
      <c r="F357" s="231" t="s">
        <v>1308</v>
      </c>
    </row>
    <row r="358" spans="1:6" x14ac:dyDescent="0.2">
      <c r="A358" s="227" t="s">
        <v>1305</v>
      </c>
      <c r="B358" s="227" t="s">
        <v>1306</v>
      </c>
      <c r="C358" s="228" t="s">
        <v>1318</v>
      </c>
      <c r="D358" s="229" t="s">
        <v>865</v>
      </c>
      <c r="E358" s="230">
        <v>1069.47</v>
      </c>
      <c r="F358" s="231" t="s">
        <v>1308</v>
      </c>
    </row>
    <row r="359" spans="1:6" ht="18" customHeight="1" x14ac:dyDescent="0.2">
      <c r="A359" s="227" t="s">
        <v>1305</v>
      </c>
      <c r="B359" s="227" t="s">
        <v>1306</v>
      </c>
      <c r="C359" s="228" t="s">
        <v>1319</v>
      </c>
      <c r="D359" s="229" t="s">
        <v>865</v>
      </c>
      <c r="E359" s="230">
        <v>3499.9967000000001</v>
      </c>
      <c r="F359" s="231" t="s">
        <v>1308</v>
      </c>
    </row>
    <row r="360" spans="1:6" ht="18.95" customHeight="1" x14ac:dyDescent="0.2">
      <c r="A360" s="227" t="s">
        <v>1305</v>
      </c>
      <c r="B360" s="227" t="s">
        <v>1306</v>
      </c>
      <c r="C360" s="228" t="s">
        <v>1320</v>
      </c>
      <c r="D360" s="229" t="s">
        <v>865</v>
      </c>
      <c r="E360" s="230">
        <v>200.6</v>
      </c>
      <c r="F360" s="231" t="s">
        <v>1308</v>
      </c>
    </row>
    <row r="361" spans="1:6" ht="15.95" customHeight="1" x14ac:dyDescent="0.2">
      <c r="A361" s="227" t="s">
        <v>1305</v>
      </c>
      <c r="B361" s="227" t="s">
        <v>1306</v>
      </c>
      <c r="C361" s="228" t="s">
        <v>1321</v>
      </c>
      <c r="D361" s="229" t="s">
        <v>865</v>
      </c>
      <c r="E361" s="230">
        <v>17.405000000000001</v>
      </c>
      <c r="F361" s="231" t="s">
        <v>1308</v>
      </c>
    </row>
    <row r="362" spans="1:6" ht="21" customHeight="1" x14ac:dyDescent="0.2">
      <c r="A362" s="227" t="s">
        <v>1305</v>
      </c>
      <c r="B362" s="227" t="s">
        <v>1306</v>
      </c>
      <c r="C362" s="228" t="s">
        <v>1322</v>
      </c>
      <c r="D362" s="229" t="s">
        <v>865</v>
      </c>
      <c r="E362" s="230">
        <v>101.48</v>
      </c>
      <c r="F362" s="231" t="s">
        <v>1308</v>
      </c>
    </row>
    <row r="363" spans="1:6" x14ac:dyDescent="0.2">
      <c r="A363" s="227" t="s">
        <v>1305</v>
      </c>
      <c r="B363" s="227" t="s">
        <v>1306</v>
      </c>
      <c r="C363" s="228" t="s">
        <v>1323</v>
      </c>
      <c r="D363" s="229" t="s">
        <v>865</v>
      </c>
      <c r="E363" s="230">
        <v>15.281000000000001</v>
      </c>
      <c r="F363" s="231" t="s">
        <v>1308</v>
      </c>
    </row>
    <row r="364" spans="1:6" x14ac:dyDescent="0.2">
      <c r="A364" s="227" t="s">
        <v>1305</v>
      </c>
      <c r="B364" s="227" t="s">
        <v>1306</v>
      </c>
      <c r="C364" s="228" t="s">
        <v>1324</v>
      </c>
      <c r="D364" s="229" t="s">
        <v>865</v>
      </c>
      <c r="E364" s="230">
        <v>34.81</v>
      </c>
      <c r="F364" s="231" t="s">
        <v>1308</v>
      </c>
    </row>
    <row r="365" spans="1:6" x14ac:dyDescent="0.2">
      <c r="A365" s="227" t="s">
        <v>1305</v>
      </c>
      <c r="B365" s="227" t="s">
        <v>1306</v>
      </c>
      <c r="C365" s="228" t="s">
        <v>1325</v>
      </c>
      <c r="D365" s="229" t="s">
        <v>865</v>
      </c>
      <c r="E365" s="230">
        <v>77.88</v>
      </c>
      <c r="F365" s="231" t="s">
        <v>1308</v>
      </c>
    </row>
    <row r="366" spans="1:6" x14ac:dyDescent="0.2">
      <c r="A366" s="227" t="s">
        <v>1305</v>
      </c>
      <c r="B366" s="227" t="s">
        <v>1306</v>
      </c>
      <c r="C366" s="228" t="s">
        <v>1326</v>
      </c>
      <c r="D366" s="229" t="s">
        <v>892</v>
      </c>
      <c r="E366" s="230">
        <v>403.79669999999999</v>
      </c>
      <c r="F366" s="231" t="s">
        <v>1308</v>
      </c>
    </row>
    <row r="367" spans="1:6" x14ac:dyDescent="0.2">
      <c r="A367" s="227" t="s">
        <v>1305</v>
      </c>
      <c r="B367" s="227" t="s">
        <v>1306</v>
      </c>
      <c r="C367" s="228" t="s">
        <v>1327</v>
      </c>
      <c r="D367" s="229" t="s">
        <v>892</v>
      </c>
      <c r="E367" s="230">
        <v>36</v>
      </c>
      <c r="F367" s="231" t="s">
        <v>1308</v>
      </c>
    </row>
    <row r="368" spans="1:6" x14ac:dyDescent="0.2">
      <c r="A368" s="227" t="s">
        <v>1305</v>
      </c>
      <c r="B368" s="227" t="s">
        <v>1306</v>
      </c>
      <c r="C368" s="228" t="s">
        <v>1328</v>
      </c>
      <c r="D368" s="229" t="s">
        <v>892</v>
      </c>
      <c r="E368" s="230">
        <v>154.875</v>
      </c>
      <c r="F368" s="231" t="s">
        <v>1308</v>
      </c>
    </row>
    <row r="369" spans="1:6" x14ac:dyDescent="0.2">
      <c r="A369" s="227" t="s">
        <v>1305</v>
      </c>
      <c r="B369" s="227" t="s">
        <v>1306</v>
      </c>
      <c r="C369" s="227" t="s">
        <v>1329</v>
      </c>
      <c r="D369" s="229" t="s">
        <v>865</v>
      </c>
      <c r="E369" s="232">
        <v>121.54</v>
      </c>
      <c r="F369" s="233" t="s">
        <v>1308</v>
      </c>
    </row>
    <row r="370" spans="1:6" ht="18" customHeight="1" x14ac:dyDescent="0.2">
      <c r="A370" s="227" t="s">
        <v>1305</v>
      </c>
      <c r="B370" s="227" t="s">
        <v>1306</v>
      </c>
      <c r="C370" s="228" t="s">
        <v>1330</v>
      </c>
      <c r="D370" s="229" t="s">
        <v>865</v>
      </c>
      <c r="E370" s="230">
        <v>510.04250000000002</v>
      </c>
      <c r="F370" s="231" t="s">
        <v>1308</v>
      </c>
    </row>
    <row r="371" spans="1:6" ht="24" x14ac:dyDescent="0.2">
      <c r="A371" s="227" t="s">
        <v>1305</v>
      </c>
      <c r="B371" s="227" t="s">
        <v>1306</v>
      </c>
      <c r="C371" s="228" t="s">
        <v>1331</v>
      </c>
      <c r="D371" s="229" t="s">
        <v>865</v>
      </c>
      <c r="E371" s="230">
        <v>510.04250000000002</v>
      </c>
      <c r="F371" s="231" t="s">
        <v>1308</v>
      </c>
    </row>
    <row r="372" spans="1:6" ht="24" x14ac:dyDescent="0.2">
      <c r="A372" s="227" t="s">
        <v>1305</v>
      </c>
      <c r="B372" s="227" t="s">
        <v>1306</v>
      </c>
      <c r="C372" s="228" t="s">
        <v>1332</v>
      </c>
      <c r="D372" s="229" t="s">
        <v>865</v>
      </c>
      <c r="E372" s="230">
        <v>445.214</v>
      </c>
      <c r="F372" s="231" t="s">
        <v>1308</v>
      </c>
    </row>
    <row r="373" spans="1:6" ht="24" x14ac:dyDescent="0.2">
      <c r="A373" s="227" t="s">
        <v>1305</v>
      </c>
      <c r="B373" s="227" t="s">
        <v>1306</v>
      </c>
      <c r="C373" s="228" t="s">
        <v>1333</v>
      </c>
      <c r="D373" s="229" t="s">
        <v>865</v>
      </c>
      <c r="E373" s="230">
        <v>445.21409999999997</v>
      </c>
      <c r="F373" s="231" t="s">
        <v>1308</v>
      </c>
    </row>
    <row r="374" spans="1:6" ht="21.75" customHeight="1" x14ac:dyDescent="0.2">
      <c r="A374" s="227" t="s">
        <v>1305</v>
      </c>
      <c r="B374" s="227" t="s">
        <v>1306</v>
      </c>
      <c r="C374" s="228" t="s">
        <v>1333</v>
      </c>
      <c r="D374" s="229" t="s">
        <v>865</v>
      </c>
      <c r="E374" s="230">
        <v>437.91</v>
      </c>
      <c r="F374" s="231" t="s">
        <v>1308</v>
      </c>
    </row>
    <row r="375" spans="1:6" ht="24" x14ac:dyDescent="0.2">
      <c r="A375" s="227" t="s">
        <v>1305</v>
      </c>
      <c r="B375" s="227" t="s">
        <v>1306</v>
      </c>
      <c r="C375" s="228" t="s">
        <v>1334</v>
      </c>
      <c r="D375" s="229" t="s">
        <v>865</v>
      </c>
      <c r="E375" s="230">
        <v>440.16329999999999</v>
      </c>
      <c r="F375" s="231" t="s">
        <v>1308</v>
      </c>
    </row>
    <row r="376" spans="1:6" ht="24" x14ac:dyDescent="0.2">
      <c r="A376" s="227" t="s">
        <v>1305</v>
      </c>
      <c r="B376" s="227" t="s">
        <v>1306</v>
      </c>
      <c r="C376" s="228" t="s">
        <v>1335</v>
      </c>
      <c r="D376" s="229" t="s">
        <v>865</v>
      </c>
      <c r="E376" s="230">
        <v>439.49</v>
      </c>
      <c r="F376" s="231" t="s">
        <v>1308</v>
      </c>
    </row>
    <row r="377" spans="1:6" ht="24" x14ac:dyDescent="0.2">
      <c r="A377" s="227" t="s">
        <v>1305</v>
      </c>
      <c r="B377" s="227" t="s">
        <v>1306</v>
      </c>
      <c r="C377" s="228" t="s">
        <v>1336</v>
      </c>
      <c r="D377" s="229" t="s">
        <v>865</v>
      </c>
      <c r="E377" s="230">
        <v>442.005</v>
      </c>
      <c r="F377" s="231" t="s">
        <v>1308</v>
      </c>
    </row>
    <row r="378" spans="1:6" ht="24" x14ac:dyDescent="0.2">
      <c r="A378" s="227" t="s">
        <v>1305</v>
      </c>
      <c r="B378" s="227" t="s">
        <v>1306</v>
      </c>
      <c r="C378" s="228" t="s">
        <v>1337</v>
      </c>
      <c r="D378" s="229" t="s">
        <v>865</v>
      </c>
      <c r="E378" s="230">
        <v>439.49</v>
      </c>
      <c r="F378" s="231" t="s">
        <v>1308</v>
      </c>
    </row>
    <row r="379" spans="1:6" ht="24" x14ac:dyDescent="0.2">
      <c r="A379" s="227" t="s">
        <v>1305</v>
      </c>
      <c r="B379" s="227" t="s">
        <v>1306</v>
      </c>
      <c r="C379" s="228" t="s">
        <v>1338</v>
      </c>
      <c r="D379" s="229" t="s">
        <v>865</v>
      </c>
      <c r="E379" s="230">
        <v>835.00300000000004</v>
      </c>
      <c r="F379" s="231" t="s">
        <v>1308</v>
      </c>
    </row>
    <row r="380" spans="1:6" ht="24" x14ac:dyDescent="0.2">
      <c r="A380" s="227" t="s">
        <v>1305</v>
      </c>
      <c r="B380" s="227" t="s">
        <v>1306</v>
      </c>
      <c r="C380" s="228" t="s">
        <v>1339</v>
      </c>
      <c r="D380" s="229" t="s">
        <v>865</v>
      </c>
      <c r="E380" s="230">
        <v>1110</v>
      </c>
      <c r="F380" s="231" t="s">
        <v>1308</v>
      </c>
    </row>
    <row r="381" spans="1:6" ht="24" x14ac:dyDescent="0.2">
      <c r="A381" s="227" t="s">
        <v>1305</v>
      </c>
      <c r="B381" s="227" t="s">
        <v>1306</v>
      </c>
      <c r="C381" s="228" t="s">
        <v>1340</v>
      </c>
      <c r="D381" s="229" t="s">
        <v>865</v>
      </c>
      <c r="E381" s="230">
        <v>932.61249999999995</v>
      </c>
      <c r="F381" s="231" t="s">
        <v>1308</v>
      </c>
    </row>
    <row r="382" spans="1:6" ht="24" x14ac:dyDescent="0.2">
      <c r="A382" s="227" t="s">
        <v>1305</v>
      </c>
      <c r="B382" s="227" t="s">
        <v>1306</v>
      </c>
      <c r="C382" s="228" t="s">
        <v>1341</v>
      </c>
      <c r="D382" s="229" t="s">
        <v>865</v>
      </c>
      <c r="E382" s="230">
        <v>932.39</v>
      </c>
      <c r="F382" s="231" t="s">
        <v>1308</v>
      </c>
    </row>
    <row r="383" spans="1:6" ht="24" x14ac:dyDescent="0.2">
      <c r="A383" s="227" t="s">
        <v>1305</v>
      </c>
      <c r="B383" s="227" t="s">
        <v>1306</v>
      </c>
      <c r="C383" s="228" t="s">
        <v>1342</v>
      </c>
      <c r="D383" s="229" t="s">
        <v>865</v>
      </c>
      <c r="E383" s="230">
        <v>932.39</v>
      </c>
      <c r="F383" s="231" t="s">
        <v>1308</v>
      </c>
    </row>
    <row r="384" spans="1:6" ht="24" x14ac:dyDescent="0.2">
      <c r="A384" s="227" t="s">
        <v>1305</v>
      </c>
      <c r="B384" s="227" t="s">
        <v>1306</v>
      </c>
      <c r="C384" s="228" t="s">
        <v>1343</v>
      </c>
      <c r="D384" s="229" t="s">
        <v>865</v>
      </c>
      <c r="E384" s="230">
        <v>1015</v>
      </c>
      <c r="F384" s="231" t="s">
        <v>1308</v>
      </c>
    </row>
    <row r="385" spans="1:6" ht="24" x14ac:dyDescent="0.2">
      <c r="A385" s="227" t="s">
        <v>1305</v>
      </c>
      <c r="B385" s="227" t="s">
        <v>1306</v>
      </c>
      <c r="C385" s="228" t="s">
        <v>1344</v>
      </c>
      <c r="D385" s="229" t="s">
        <v>865</v>
      </c>
      <c r="E385" s="230">
        <v>927.75</v>
      </c>
      <c r="F385" s="231" t="s">
        <v>1308</v>
      </c>
    </row>
    <row r="386" spans="1:6" ht="24" x14ac:dyDescent="0.2">
      <c r="A386" s="227" t="s">
        <v>1305</v>
      </c>
      <c r="B386" s="227" t="s">
        <v>1306</v>
      </c>
      <c r="C386" s="228" t="s">
        <v>1345</v>
      </c>
      <c r="D386" s="229" t="s">
        <v>865</v>
      </c>
      <c r="E386" s="230">
        <v>922.77329999999995</v>
      </c>
      <c r="F386" s="231" t="s">
        <v>1308</v>
      </c>
    </row>
    <row r="387" spans="1:6" ht="24" x14ac:dyDescent="0.2">
      <c r="A387" s="227" t="s">
        <v>1305</v>
      </c>
      <c r="B387" s="227" t="s">
        <v>1306</v>
      </c>
      <c r="C387" s="228" t="s">
        <v>1346</v>
      </c>
      <c r="D387" s="229" t="s">
        <v>865</v>
      </c>
      <c r="E387" s="230">
        <v>929.53330000000005</v>
      </c>
      <c r="F387" s="231" t="s">
        <v>1308</v>
      </c>
    </row>
    <row r="388" spans="1:6" ht="24" x14ac:dyDescent="0.2">
      <c r="A388" s="227" t="s">
        <v>1305</v>
      </c>
      <c r="B388" s="227" t="s">
        <v>1306</v>
      </c>
      <c r="C388" s="228" t="s">
        <v>1347</v>
      </c>
      <c r="D388" s="229" t="s">
        <v>865</v>
      </c>
      <c r="E388" s="230">
        <v>885</v>
      </c>
      <c r="F388" s="231" t="s">
        <v>1308</v>
      </c>
    </row>
    <row r="389" spans="1:6" ht="24" x14ac:dyDescent="0.2">
      <c r="A389" s="227" t="s">
        <v>1305</v>
      </c>
      <c r="B389" s="227" t="s">
        <v>1306</v>
      </c>
      <c r="C389" s="228" t="s">
        <v>1348</v>
      </c>
      <c r="D389" s="229" t="s">
        <v>865</v>
      </c>
      <c r="E389" s="230">
        <v>1017.5025000000001</v>
      </c>
      <c r="F389" s="231" t="s">
        <v>1308</v>
      </c>
    </row>
    <row r="390" spans="1:6" ht="24" x14ac:dyDescent="0.2">
      <c r="A390" s="227" t="s">
        <v>1305</v>
      </c>
      <c r="B390" s="227" t="s">
        <v>1306</v>
      </c>
      <c r="C390" s="228" t="s">
        <v>1349</v>
      </c>
      <c r="D390" s="229" t="s">
        <v>865</v>
      </c>
      <c r="E390" s="230">
        <v>2700.0052000000001</v>
      </c>
      <c r="F390" s="231" t="s">
        <v>1308</v>
      </c>
    </row>
    <row r="391" spans="1:6" ht="24" x14ac:dyDescent="0.2">
      <c r="A391" s="227" t="s">
        <v>1305</v>
      </c>
      <c r="B391" s="227" t="s">
        <v>1306</v>
      </c>
      <c r="C391" s="228" t="s">
        <v>1350</v>
      </c>
      <c r="D391" s="229" t="s">
        <v>865</v>
      </c>
      <c r="E391" s="230">
        <v>2799.9985000000001</v>
      </c>
      <c r="F391" s="231" t="s">
        <v>1308</v>
      </c>
    </row>
    <row r="392" spans="1:6" ht="24" x14ac:dyDescent="0.2">
      <c r="A392" s="227" t="s">
        <v>1305</v>
      </c>
      <c r="B392" s="227" t="s">
        <v>1306</v>
      </c>
      <c r="C392" s="228" t="s">
        <v>1351</v>
      </c>
      <c r="D392" s="229" t="s">
        <v>865</v>
      </c>
      <c r="E392" s="230">
        <v>2149.9960000000001</v>
      </c>
      <c r="F392" s="231" t="s">
        <v>1308</v>
      </c>
    </row>
    <row r="393" spans="1:6" ht="24" x14ac:dyDescent="0.2">
      <c r="A393" s="227" t="s">
        <v>1305</v>
      </c>
      <c r="B393" s="227" t="s">
        <v>1306</v>
      </c>
      <c r="C393" s="228" t="s">
        <v>1352</v>
      </c>
      <c r="D393" s="229" t="s">
        <v>865</v>
      </c>
      <c r="E393" s="230">
        <v>3650</v>
      </c>
      <c r="F393" s="231" t="s">
        <v>1308</v>
      </c>
    </row>
    <row r="394" spans="1:6" ht="14.1" customHeight="1" x14ac:dyDescent="0.2">
      <c r="A394" s="227" t="s">
        <v>1305</v>
      </c>
      <c r="B394" s="227" t="s">
        <v>1306</v>
      </c>
      <c r="C394" s="228" t="s">
        <v>1353</v>
      </c>
      <c r="D394" s="229" t="s">
        <v>865</v>
      </c>
      <c r="E394" s="230">
        <v>30.68</v>
      </c>
      <c r="F394" s="231" t="s">
        <v>1308</v>
      </c>
    </row>
    <row r="395" spans="1:6" ht="24" x14ac:dyDescent="0.2">
      <c r="A395" s="227" t="s">
        <v>1305</v>
      </c>
      <c r="B395" s="227" t="s">
        <v>1306</v>
      </c>
      <c r="C395" s="228" t="s">
        <v>1354</v>
      </c>
      <c r="D395" s="229" t="s">
        <v>865</v>
      </c>
      <c r="E395" s="230">
        <v>5039.8509999999997</v>
      </c>
      <c r="F395" s="231" t="s">
        <v>1308</v>
      </c>
    </row>
    <row r="396" spans="1:6" ht="24" x14ac:dyDescent="0.2">
      <c r="A396" s="227" t="s">
        <v>1305</v>
      </c>
      <c r="B396" s="227" t="s">
        <v>1306</v>
      </c>
      <c r="C396" s="228" t="s">
        <v>1355</v>
      </c>
      <c r="D396" s="229" t="s">
        <v>865</v>
      </c>
      <c r="E396" s="230">
        <v>2700.0050000000001</v>
      </c>
      <c r="F396" s="231" t="s">
        <v>1308</v>
      </c>
    </row>
    <row r="397" spans="1:6" x14ac:dyDescent="0.2">
      <c r="A397" s="227" t="s">
        <v>1305</v>
      </c>
      <c r="B397" s="227" t="s">
        <v>1306</v>
      </c>
      <c r="C397" s="228" t="s">
        <v>1356</v>
      </c>
      <c r="D397" s="229" t="s">
        <v>865</v>
      </c>
      <c r="E397" s="230">
        <v>9.9946000000000002</v>
      </c>
      <c r="F397" s="231" t="s">
        <v>1308</v>
      </c>
    </row>
    <row r="398" spans="1:6" ht="24.75" customHeight="1" x14ac:dyDescent="0.2">
      <c r="A398" s="227" t="s">
        <v>1305</v>
      </c>
      <c r="B398" s="227" t="s">
        <v>1306</v>
      </c>
      <c r="C398" s="228" t="s">
        <v>1357</v>
      </c>
      <c r="D398" s="229" t="s">
        <v>865</v>
      </c>
      <c r="E398" s="230">
        <v>35.4</v>
      </c>
      <c r="F398" s="231" t="s">
        <v>1308</v>
      </c>
    </row>
    <row r="399" spans="1:6" ht="24" x14ac:dyDescent="0.2">
      <c r="A399" s="227" t="s">
        <v>1305</v>
      </c>
      <c r="B399" s="227" t="s">
        <v>1306</v>
      </c>
      <c r="C399" s="228" t="s">
        <v>1358</v>
      </c>
      <c r="D399" s="229" t="s">
        <v>865</v>
      </c>
      <c r="E399" s="230">
        <v>1184.72</v>
      </c>
      <c r="F399" s="231" t="s">
        <v>1308</v>
      </c>
    </row>
    <row r="400" spans="1:6" ht="24" x14ac:dyDescent="0.2">
      <c r="A400" s="227" t="s">
        <v>1305</v>
      </c>
      <c r="B400" s="227" t="s">
        <v>1306</v>
      </c>
      <c r="C400" s="228" t="s">
        <v>1359</v>
      </c>
      <c r="D400" s="229" t="s">
        <v>865</v>
      </c>
      <c r="E400" s="230">
        <v>2265.6</v>
      </c>
      <c r="F400" s="231" t="s">
        <v>1308</v>
      </c>
    </row>
    <row r="401" spans="1:6" x14ac:dyDescent="0.2">
      <c r="A401" s="227" t="s">
        <v>1305</v>
      </c>
      <c r="B401" s="227" t="s">
        <v>1306</v>
      </c>
      <c r="C401" s="228" t="s">
        <v>1360</v>
      </c>
      <c r="D401" s="229" t="s">
        <v>865</v>
      </c>
      <c r="E401" s="230">
        <v>13.3222</v>
      </c>
      <c r="F401" s="231" t="s">
        <v>1308</v>
      </c>
    </row>
    <row r="402" spans="1:6" x14ac:dyDescent="0.2">
      <c r="A402" s="227" t="s">
        <v>1305</v>
      </c>
      <c r="B402" s="227" t="s">
        <v>1306</v>
      </c>
      <c r="C402" s="228" t="s">
        <v>1361</v>
      </c>
      <c r="D402" s="229" t="s">
        <v>865</v>
      </c>
      <c r="E402" s="230">
        <v>107.675</v>
      </c>
      <c r="F402" s="231" t="s">
        <v>1308</v>
      </c>
    </row>
    <row r="403" spans="1:6" ht="21.75" customHeight="1" x14ac:dyDescent="0.2">
      <c r="A403" s="227" t="s">
        <v>1305</v>
      </c>
      <c r="B403" s="227" t="s">
        <v>1306</v>
      </c>
      <c r="C403" s="228" t="s">
        <v>1362</v>
      </c>
      <c r="D403" s="229" t="s">
        <v>865</v>
      </c>
      <c r="E403" s="230">
        <v>21.771000000000001</v>
      </c>
      <c r="F403" s="231" t="s">
        <v>1308</v>
      </c>
    </row>
    <row r="404" spans="1:6" x14ac:dyDescent="0.2">
      <c r="A404" s="227" t="s">
        <v>1305</v>
      </c>
      <c r="B404" s="227" t="s">
        <v>1306</v>
      </c>
      <c r="C404" s="228" t="s">
        <v>1363</v>
      </c>
      <c r="D404" s="229" t="s">
        <v>865</v>
      </c>
      <c r="E404" s="230">
        <v>7.8470000000000004</v>
      </c>
      <c r="F404" s="231" t="s">
        <v>1308</v>
      </c>
    </row>
    <row r="405" spans="1:6" ht="24" x14ac:dyDescent="0.2">
      <c r="A405" s="227" t="s">
        <v>1305</v>
      </c>
      <c r="B405" s="227" t="s">
        <v>1306</v>
      </c>
      <c r="C405" s="228" t="s">
        <v>1364</v>
      </c>
      <c r="D405" s="229" t="s">
        <v>865</v>
      </c>
      <c r="E405" s="230">
        <v>885.4</v>
      </c>
      <c r="F405" s="231" t="s">
        <v>1308</v>
      </c>
    </row>
    <row r="406" spans="1:6" ht="24" x14ac:dyDescent="0.2">
      <c r="A406" s="227" t="s">
        <v>1305</v>
      </c>
      <c r="B406" s="227" t="s">
        <v>1306</v>
      </c>
      <c r="C406" s="228" t="s">
        <v>1365</v>
      </c>
      <c r="D406" s="229" t="s">
        <v>865</v>
      </c>
      <c r="E406" s="230">
        <v>880.95249999999999</v>
      </c>
      <c r="F406" s="231" t="s">
        <v>1308</v>
      </c>
    </row>
    <row r="407" spans="1:6" ht="24" x14ac:dyDescent="0.2">
      <c r="A407" s="227" t="s">
        <v>1305</v>
      </c>
      <c r="B407" s="227" t="s">
        <v>1306</v>
      </c>
      <c r="C407" s="228" t="s">
        <v>1366</v>
      </c>
      <c r="D407" s="229" t="s">
        <v>865</v>
      </c>
      <c r="E407" s="230">
        <v>889.42600000000004</v>
      </c>
      <c r="F407" s="231" t="s">
        <v>1308</v>
      </c>
    </row>
    <row r="408" spans="1:6" x14ac:dyDescent="0.2">
      <c r="A408" s="227" t="s">
        <v>1305</v>
      </c>
      <c r="B408" s="227" t="s">
        <v>1306</v>
      </c>
      <c r="C408" s="228" t="s">
        <v>1367</v>
      </c>
      <c r="D408" s="229" t="s">
        <v>865</v>
      </c>
      <c r="E408" s="230">
        <v>20.001000000000001</v>
      </c>
      <c r="F408" s="231" t="s">
        <v>1308</v>
      </c>
    </row>
    <row r="409" spans="1:6" ht="15.95" customHeight="1" x14ac:dyDescent="0.2">
      <c r="A409" s="227" t="s">
        <v>1305</v>
      </c>
      <c r="B409" s="227" t="s">
        <v>1306</v>
      </c>
      <c r="C409" s="231" t="s">
        <v>1368</v>
      </c>
      <c r="D409" s="229" t="s">
        <v>865</v>
      </c>
      <c r="E409" s="234">
        <v>5750.01</v>
      </c>
      <c r="F409" s="231" t="s">
        <v>1308</v>
      </c>
    </row>
    <row r="410" spans="1:6" ht="24" x14ac:dyDescent="0.2">
      <c r="A410" s="227" t="s">
        <v>1305</v>
      </c>
      <c r="B410" s="227" t="s">
        <v>1306</v>
      </c>
      <c r="C410" s="228" t="s">
        <v>1369</v>
      </c>
      <c r="D410" s="229" t="s">
        <v>865</v>
      </c>
      <c r="E410" s="230">
        <v>4500.0006000000003</v>
      </c>
      <c r="F410" s="231" t="s">
        <v>1308</v>
      </c>
    </row>
    <row r="411" spans="1:6" x14ac:dyDescent="0.2">
      <c r="A411" s="227" t="s">
        <v>1305</v>
      </c>
      <c r="B411" s="227" t="s">
        <v>1306</v>
      </c>
      <c r="C411" s="228" t="s">
        <v>1370</v>
      </c>
      <c r="D411" s="229" t="s">
        <v>1261</v>
      </c>
      <c r="E411" s="230">
        <v>206.5</v>
      </c>
      <c r="F411" s="231" t="s">
        <v>1308</v>
      </c>
    </row>
    <row r="412" spans="1:6" x14ac:dyDescent="0.2">
      <c r="A412" s="227" t="s">
        <v>1305</v>
      </c>
      <c r="B412" s="227" t="s">
        <v>1306</v>
      </c>
      <c r="C412" s="228" t="s">
        <v>1371</v>
      </c>
      <c r="D412" s="229" t="s">
        <v>865</v>
      </c>
      <c r="E412" s="230">
        <v>144.9984</v>
      </c>
      <c r="F412" s="231" t="s">
        <v>1308</v>
      </c>
    </row>
    <row r="413" spans="1:6" x14ac:dyDescent="0.2">
      <c r="A413" s="227" t="s">
        <v>1305</v>
      </c>
      <c r="B413" s="227" t="s">
        <v>1306</v>
      </c>
      <c r="C413" s="228" t="s">
        <v>1372</v>
      </c>
      <c r="D413" s="229" t="s">
        <v>865</v>
      </c>
      <c r="E413" s="230">
        <v>1407.74</v>
      </c>
      <c r="F413" s="231" t="s">
        <v>1308</v>
      </c>
    </row>
    <row r="414" spans="1:6" x14ac:dyDescent="0.2">
      <c r="A414" s="227" t="s">
        <v>1305</v>
      </c>
      <c r="B414" s="227" t="s">
        <v>1306</v>
      </c>
      <c r="C414" s="228" t="s">
        <v>1373</v>
      </c>
      <c r="D414" s="229" t="s">
        <v>892</v>
      </c>
      <c r="E414" s="230">
        <v>71.98</v>
      </c>
      <c r="F414" s="231" t="s">
        <v>1308</v>
      </c>
    </row>
    <row r="415" spans="1:6" x14ac:dyDescent="0.2">
      <c r="A415" s="227" t="s">
        <v>1305</v>
      </c>
      <c r="B415" s="227" t="s">
        <v>1306</v>
      </c>
      <c r="C415" s="228" t="s">
        <v>1374</v>
      </c>
      <c r="D415" s="229" t="s">
        <v>865</v>
      </c>
      <c r="E415" s="230">
        <v>55</v>
      </c>
      <c r="F415" s="231" t="s">
        <v>1308</v>
      </c>
    </row>
    <row r="416" spans="1:6" x14ac:dyDescent="0.2">
      <c r="A416" s="227" t="s">
        <v>1305</v>
      </c>
      <c r="B416" s="227" t="s">
        <v>1306</v>
      </c>
      <c r="C416" s="228" t="s">
        <v>1375</v>
      </c>
      <c r="D416" s="229" t="s">
        <v>865</v>
      </c>
      <c r="E416" s="230">
        <v>55</v>
      </c>
      <c r="F416" s="231" t="s">
        <v>1308</v>
      </c>
    </row>
    <row r="417" spans="1:6" x14ac:dyDescent="0.2">
      <c r="A417" s="227" t="s">
        <v>1305</v>
      </c>
      <c r="B417" s="227" t="s">
        <v>1306</v>
      </c>
      <c r="C417" s="228" t="s">
        <v>1376</v>
      </c>
      <c r="D417" s="229" t="s">
        <v>1261</v>
      </c>
      <c r="E417" s="230">
        <v>72.5</v>
      </c>
      <c r="F417" s="231" t="s">
        <v>1308</v>
      </c>
    </row>
    <row r="418" spans="1:6" x14ac:dyDescent="0.2">
      <c r="A418" s="227" t="s">
        <v>1305</v>
      </c>
      <c r="B418" s="227" t="s">
        <v>1306</v>
      </c>
      <c r="C418" s="228" t="s">
        <v>1377</v>
      </c>
      <c r="D418" s="229" t="s">
        <v>865</v>
      </c>
      <c r="E418" s="230">
        <v>50</v>
      </c>
      <c r="F418" s="231" t="s">
        <v>1308</v>
      </c>
    </row>
    <row r="419" spans="1:6" x14ac:dyDescent="0.2">
      <c r="A419" s="227" t="s">
        <v>1305</v>
      </c>
      <c r="B419" s="227" t="s">
        <v>1306</v>
      </c>
      <c r="C419" s="228" t="s">
        <v>1378</v>
      </c>
      <c r="D419" s="229" t="s">
        <v>865</v>
      </c>
      <c r="E419" s="230">
        <v>1121</v>
      </c>
      <c r="F419" s="231" t="s">
        <v>1308</v>
      </c>
    </row>
    <row r="420" spans="1:6" x14ac:dyDescent="0.2">
      <c r="A420" s="227" t="s">
        <v>1305</v>
      </c>
      <c r="B420" s="227" t="s">
        <v>1306</v>
      </c>
      <c r="C420" s="228" t="s">
        <v>1379</v>
      </c>
      <c r="D420" s="229" t="s">
        <v>865</v>
      </c>
      <c r="E420" s="230">
        <v>254.99799999999999</v>
      </c>
      <c r="F420" s="231" t="s">
        <v>1308</v>
      </c>
    </row>
    <row r="421" spans="1:6" x14ac:dyDescent="0.2">
      <c r="A421" s="227" t="s">
        <v>1305</v>
      </c>
      <c r="B421" s="227" t="s">
        <v>1306</v>
      </c>
      <c r="C421" s="228" t="s">
        <v>1379</v>
      </c>
      <c r="D421" s="229" t="s">
        <v>865</v>
      </c>
      <c r="E421" s="230">
        <v>365.8</v>
      </c>
      <c r="F421" s="231" t="s">
        <v>1308</v>
      </c>
    </row>
    <row r="422" spans="1:6" x14ac:dyDescent="0.2">
      <c r="A422" s="227" t="s">
        <v>1305</v>
      </c>
      <c r="B422" s="227" t="s">
        <v>1306</v>
      </c>
      <c r="C422" s="231" t="s">
        <v>1380</v>
      </c>
      <c r="D422" s="229" t="s">
        <v>865</v>
      </c>
      <c r="E422" s="234">
        <v>498.99799999999999</v>
      </c>
      <c r="F422" s="231" t="s">
        <v>1308</v>
      </c>
    </row>
    <row r="423" spans="1:6" ht="24" x14ac:dyDescent="0.2">
      <c r="A423" s="227" t="s">
        <v>1305</v>
      </c>
      <c r="B423" s="227" t="s">
        <v>1306</v>
      </c>
      <c r="C423" s="228" t="s">
        <v>1381</v>
      </c>
      <c r="D423" s="229" t="s">
        <v>865</v>
      </c>
      <c r="E423" s="230">
        <v>10.9976</v>
      </c>
      <c r="F423" s="231" t="s">
        <v>1308</v>
      </c>
    </row>
    <row r="424" spans="1:6" ht="24" x14ac:dyDescent="0.2">
      <c r="A424" s="227" t="s">
        <v>1305</v>
      </c>
      <c r="B424" s="227" t="s">
        <v>1306</v>
      </c>
      <c r="C424" s="228" t="s">
        <v>1382</v>
      </c>
      <c r="D424" s="229" t="s">
        <v>865</v>
      </c>
      <c r="E424" s="230">
        <v>53.1</v>
      </c>
      <c r="F424" s="231" t="s">
        <v>1308</v>
      </c>
    </row>
    <row r="425" spans="1:6" ht="24" x14ac:dyDescent="0.2">
      <c r="A425" s="227" t="s">
        <v>1305</v>
      </c>
      <c r="B425" s="227" t="s">
        <v>1306</v>
      </c>
      <c r="C425" s="228" t="s">
        <v>1383</v>
      </c>
      <c r="D425" s="229" t="s">
        <v>865</v>
      </c>
      <c r="E425" s="230">
        <v>916.505</v>
      </c>
      <c r="F425" s="231" t="s">
        <v>1308</v>
      </c>
    </row>
    <row r="426" spans="1:6" ht="24" x14ac:dyDescent="0.2">
      <c r="A426" s="227" t="s">
        <v>1305</v>
      </c>
      <c r="B426" s="227" t="s">
        <v>1306</v>
      </c>
      <c r="C426" s="228" t="s">
        <v>1384</v>
      </c>
      <c r="D426" s="229" t="s">
        <v>865</v>
      </c>
      <c r="E426" s="230">
        <v>5015</v>
      </c>
      <c r="F426" s="231" t="s">
        <v>1308</v>
      </c>
    </row>
    <row r="427" spans="1:6" ht="24" x14ac:dyDescent="0.2">
      <c r="A427" s="227" t="s">
        <v>1305</v>
      </c>
      <c r="B427" s="227" t="s">
        <v>1306</v>
      </c>
      <c r="C427" s="228" t="s">
        <v>1385</v>
      </c>
      <c r="D427" s="229" t="s">
        <v>865</v>
      </c>
      <c r="E427" s="230">
        <v>10584.6</v>
      </c>
      <c r="F427" s="231" t="s">
        <v>1308</v>
      </c>
    </row>
    <row r="428" spans="1:6" x14ac:dyDescent="0.2">
      <c r="A428" s="227" t="s">
        <v>1305</v>
      </c>
      <c r="B428" s="227" t="s">
        <v>1306</v>
      </c>
      <c r="C428" s="228" t="s">
        <v>1386</v>
      </c>
      <c r="D428" s="229" t="s">
        <v>865</v>
      </c>
      <c r="E428" s="230">
        <v>8.85</v>
      </c>
      <c r="F428" s="231" t="s">
        <v>1308</v>
      </c>
    </row>
    <row r="429" spans="1:6" x14ac:dyDescent="0.2">
      <c r="A429" s="227" t="s">
        <v>1305</v>
      </c>
      <c r="B429" s="227" t="s">
        <v>1306</v>
      </c>
      <c r="C429" s="228" t="s">
        <v>1387</v>
      </c>
      <c r="D429" s="229" t="s">
        <v>865</v>
      </c>
      <c r="E429" s="230">
        <v>26.55</v>
      </c>
      <c r="F429" s="231" t="s">
        <v>1308</v>
      </c>
    </row>
    <row r="430" spans="1:6" x14ac:dyDescent="0.2">
      <c r="A430" s="227" t="s">
        <v>1305</v>
      </c>
      <c r="B430" s="227" t="s">
        <v>1306</v>
      </c>
      <c r="C430" s="228" t="s">
        <v>1388</v>
      </c>
      <c r="D430" s="229" t="s">
        <v>865</v>
      </c>
      <c r="E430" s="230">
        <v>71.98</v>
      </c>
      <c r="F430" s="231" t="s">
        <v>1308</v>
      </c>
    </row>
    <row r="431" spans="1:6" x14ac:dyDescent="0.2">
      <c r="A431" s="227" t="s">
        <v>1305</v>
      </c>
      <c r="B431" s="227" t="s">
        <v>1306</v>
      </c>
      <c r="C431" s="228" t="s">
        <v>1389</v>
      </c>
      <c r="D431" s="229" t="s">
        <v>865</v>
      </c>
      <c r="E431" s="230">
        <v>278.77499999999998</v>
      </c>
      <c r="F431" s="231" t="s">
        <v>1308</v>
      </c>
    </row>
    <row r="432" spans="1:6" x14ac:dyDescent="0.2">
      <c r="A432" s="227" t="s">
        <v>1305</v>
      </c>
      <c r="B432" s="227" t="s">
        <v>1306</v>
      </c>
      <c r="C432" s="228" t="s">
        <v>1390</v>
      </c>
      <c r="D432" s="229" t="s">
        <v>865</v>
      </c>
      <c r="E432" s="230">
        <v>32.001600000000003</v>
      </c>
      <c r="F432" s="231" t="s">
        <v>1308</v>
      </c>
    </row>
    <row r="433" spans="1:6" x14ac:dyDescent="0.2">
      <c r="A433" s="227" t="s">
        <v>1305</v>
      </c>
      <c r="B433" s="227" t="s">
        <v>1306</v>
      </c>
      <c r="C433" s="228" t="s">
        <v>1391</v>
      </c>
      <c r="D433" s="229" t="s">
        <v>865</v>
      </c>
      <c r="E433" s="230">
        <v>33.04</v>
      </c>
      <c r="F433" s="231" t="s">
        <v>1308</v>
      </c>
    </row>
    <row r="434" spans="1:6" x14ac:dyDescent="0.2">
      <c r="A434" s="227" t="s">
        <v>1305</v>
      </c>
      <c r="B434" s="227" t="s">
        <v>1306</v>
      </c>
      <c r="C434" s="228" t="s">
        <v>1392</v>
      </c>
      <c r="D434" s="229" t="s">
        <v>865</v>
      </c>
      <c r="E434" s="230">
        <v>24.78</v>
      </c>
      <c r="F434" s="231" t="s">
        <v>1308</v>
      </c>
    </row>
    <row r="435" spans="1:6" x14ac:dyDescent="0.2">
      <c r="A435" s="227" t="s">
        <v>1305</v>
      </c>
      <c r="B435" s="227" t="s">
        <v>1306</v>
      </c>
      <c r="C435" s="228" t="s">
        <v>1393</v>
      </c>
      <c r="D435" s="229" t="s">
        <v>865</v>
      </c>
      <c r="E435" s="230">
        <v>21.24</v>
      </c>
      <c r="F435" s="231" t="s">
        <v>1308</v>
      </c>
    </row>
    <row r="436" spans="1:6" ht="24" x14ac:dyDescent="0.2">
      <c r="A436" s="227" t="s">
        <v>1305</v>
      </c>
      <c r="B436" s="227" t="s">
        <v>1306</v>
      </c>
      <c r="C436" s="228" t="s">
        <v>1394</v>
      </c>
      <c r="D436" s="229" t="s">
        <v>865</v>
      </c>
      <c r="E436" s="230">
        <v>8379.4282999999996</v>
      </c>
      <c r="F436" s="231" t="s">
        <v>1308</v>
      </c>
    </row>
    <row r="437" spans="1:6" ht="24" x14ac:dyDescent="0.2">
      <c r="A437" s="227" t="s">
        <v>1305</v>
      </c>
      <c r="B437" s="227" t="s">
        <v>1306</v>
      </c>
      <c r="C437" s="228" t="s">
        <v>1395</v>
      </c>
      <c r="D437" s="229" t="s">
        <v>865</v>
      </c>
      <c r="E437" s="230">
        <v>3100.0016999999998</v>
      </c>
      <c r="F437" s="231" t="s">
        <v>1308</v>
      </c>
    </row>
    <row r="438" spans="1:6" ht="24" x14ac:dyDescent="0.2">
      <c r="A438" s="227" t="s">
        <v>1305</v>
      </c>
      <c r="B438" s="227" t="s">
        <v>1306</v>
      </c>
      <c r="C438" s="228" t="s">
        <v>1396</v>
      </c>
      <c r="D438" s="229" t="s">
        <v>865</v>
      </c>
      <c r="E438" s="230">
        <v>7601.18</v>
      </c>
      <c r="F438" s="231" t="s">
        <v>1308</v>
      </c>
    </row>
    <row r="439" spans="1:6" x14ac:dyDescent="0.2">
      <c r="A439" s="227" t="s">
        <v>1305</v>
      </c>
      <c r="B439" s="227" t="s">
        <v>1306</v>
      </c>
      <c r="C439" s="228" t="s">
        <v>1397</v>
      </c>
      <c r="D439" s="229" t="s">
        <v>865</v>
      </c>
      <c r="E439" s="230">
        <v>5.31</v>
      </c>
      <c r="F439" s="231" t="s">
        <v>1308</v>
      </c>
    </row>
    <row r="440" spans="1:6" x14ac:dyDescent="0.2">
      <c r="A440" s="227" t="s">
        <v>1305</v>
      </c>
      <c r="B440" s="227" t="s">
        <v>1306</v>
      </c>
      <c r="C440" s="228" t="s">
        <v>1398</v>
      </c>
      <c r="D440" s="229" t="s">
        <v>865</v>
      </c>
      <c r="E440" s="230">
        <v>9.6760000000000002</v>
      </c>
      <c r="F440" s="231" t="s">
        <v>1308</v>
      </c>
    </row>
    <row r="441" spans="1:6" x14ac:dyDescent="0.2">
      <c r="A441" s="227" t="s">
        <v>1305</v>
      </c>
      <c r="B441" s="227" t="s">
        <v>1306</v>
      </c>
      <c r="C441" s="228" t="s">
        <v>1399</v>
      </c>
      <c r="D441" s="229" t="s">
        <v>865</v>
      </c>
      <c r="E441" s="230">
        <v>25.924600000000002</v>
      </c>
      <c r="F441" s="231" t="s">
        <v>1308</v>
      </c>
    </row>
    <row r="442" spans="1:6" x14ac:dyDescent="0.2">
      <c r="A442" s="227" t="s">
        <v>1305</v>
      </c>
      <c r="B442" s="227" t="s">
        <v>1306</v>
      </c>
      <c r="C442" s="228" t="s">
        <v>1400</v>
      </c>
      <c r="D442" s="229" t="s">
        <v>865</v>
      </c>
      <c r="E442" s="230">
        <v>4163.9250000000002</v>
      </c>
      <c r="F442" s="231" t="s">
        <v>1308</v>
      </c>
    </row>
    <row r="443" spans="1:6" x14ac:dyDescent="0.2">
      <c r="A443" s="227" t="s">
        <v>1305</v>
      </c>
      <c r="B443" s="227" t="s">
        <v>1306</v>
      </c>
      <c r="C443" s="228" t="s">
        <v>1401</v>
      </c>
      <c r="D443" s="229" t="s">
        <v>865</v>
      </c>
      <c r="E443" s="230">
        <v>15.34</v>
      </c>
      <c r="F443" s="231" t="s">
        <v>1308</v>
      </c>
    </row>
    <row r="444" spans="1:6" x14ac:dyDescent="0.2">
      <c r="A444" s="227" t="s">
        <v>1305</v>
      </c>
      <c r="B444" s="227" t="s">
        <v>1306</v>
      </c>
      <c r="C444" s="228" t="s">
        <v>1402</v>
      </c>
      <c r="D444" s="229" t="s">
        <v>865</v>
      </c>
      <c r="E444" s="230">
        <v>788.24</v>
      </c>
      <c r="F444" s="231" t="s">
        <v>1308</v>
      </c>
    </row>
    <row r="445" spans="1:6" x14ac:dyDescent="0.2">
      <c r="A445" s="227" t="s">
        <v>1305</v>
      </c>
      <c r="B445" s="227" t="s">
        <v>1306</v>
      </c>
      <c r="C445" s="227" t="s">
        <v>1403</v>
      </c>
      <c r="D445" s="229" t="s">
        <v>865</v>
      </c>
      <c r="E445" s="232">
        <v>1888</v>
      </c>
      <c r="F445" s="233" t="s">
        <v>1308</v>
      </c>
    </row>
    <row r="446" spans="1:6" x14ac:dyDescent="0.2">
      <c r="A446" s="227" t="s">
        <v>1305</v>
      </c>
      <c r="B446" s="227" t="s">
        <v>1306</v>
      </c>
      <c r="C446" s="227" t="s">
        <v>1404</v>
      </c>
      <c r="D446" s="229" t="s">
        <v>865</v>
      </c>
      <c r="E446" s="232">
        <v>1888</v>
      </c>
      <c r="F446" s="233" t="s">
        <v>1308</v>
      </c>
    </row>
    <row r="447" spans="1:6" x14ac:dyDescent="0.2">
      <c r="A447" s="227" t="s">
        <v>1305</v>
      </c>
      <c r="B447" s="227" t="s">
        <v>1306</v>
      </c>
      <c r="C447" s="227" t="s">
        <v>1405</v>
      </c>
      <c r="D447" s="229" t="s">
        <v>865</v>
      </c>
      <c r="E447" s="232">
        <v>1858.5</v>
      </c>
      <c r="F447" s="233" t="s">
        <v>1308</v>
      </c>
    </row>
    <row r="448" spans="1:6" x14ac:dyDescent="0.2">
      <c r="A448" s="227" t="s">
        <v>1305</v>
      </c>
      <c r="B448" s="227" t="s">
        <v>1306</v>
      </c>
      <c r="C448" s="228" t="s">
        <v>1406</v>
      </c>
      <c r="D448" s="229" t="s">
        <v>892</v>
      </c>
      <c r="E448" s="230">
        <v>27.14</v>
      </c>
      <c r="F448" s="231" t="s">
        <v>1308</v>
      </c>
    </row>
    <row r="449" spans="1:6" x14ac:dyDescent="0.2">
      <c r="A449" s="227" t="s">
        <v>1305</v>
      </c>
      <c r="B449" s="227" t="s">
        <v>1306</v>
      </c>
      <c r="C449" s="228" t="s">
        <v>1407</v>
      </c>
      <c r="D449" s="229" t="s">
        <v>865</v>
      </c>
      <c r="E449" s="230">
        <v>33.4176</v>
      </c>
      <c r="F449" s="231" t="s">
        <v>1308</v>
      </c>
    </row>
    <row r="450" spans="1:6" x14ac:dyDescent="0.2">
      <c r="A450" s="227" t="s">
        <v>1305</v>
      </c>
      <c r="B450" s="227" t="s">
        <v>1306</v>
      </c>
      <c r="C450" s="228" t="s">
        <v>1408</v>
      </c>
      <c r="D450" s="229" t="s">
        <v>865</v>
      </c>
      <c r="E450" s="230">
        <v>46.999499999999998</v>
      </c>
      <c r="F450" s="231" t="s">
        <v>1308</v>
      </c>
    </row>
    <row r="451" spans="1:6" x14ac:dyDescent="0.2">
      <c r="A451" s="227" t="s">
        <v>1305</v>
      </c>
      <c r="B451" s="227" t="s">
        <v>1306</v>
      </c>
      <c r="C451" s="228" t="s">
        <v>1409</v>
      </c>
      <c r="D451" s="229" t="s">
        <v>865</v>
      </c>
      <c r="E451" s="230">
        <v>49.206000000000003</v>
      </c>
      <c r="F451" s="231" t="s">
        <v>1308</v>
      </c>
    </row>
    <row r="452" spans="1:6" x14ac:dyDescent="0.2">
      <c r="A452" s="227" t="s">
        <v>1305</v>
      </c>
      <c r="B452" s="227" t="s">
        <v>1306</v>
      </c>
      <c r="C452" s="228" t="s">
        <v>1410</v>
      </c>
      <c r="D452" s="229" t="s">
        <v>865</v>
      </c>
      <c r="E452" s="230">
        <v>619.5</v>
      </c>
      <c r="F452" s="231" t="s">
        <v>1308</v>
      </c>
    </row>
    <row r="453" spans="1:6" ht="18" customHeight="1" x14ac:dyDescent="0.2">
      <c r="A453" s="227" t="s">
        <v>1305</v>
      </c>
      <c r="B453" s="227" t="s">
        <v>1306</v>
      </c>
      <c r="C453" s="228" t="s">
        <v>1411</v>
      </c>
      <c r="D453" s="229" t="s">
        <v>865</v>
      </c>
      <c r="E453" s="230">
        <v>49.607300000000002</v>
      </c>
      <c r="F453" s="231" t="s">
        <v>1308</v>
      </c>
    </row>
    <row r="454" spans="1:6" x14ac:dyDescent="0.2">
      <c r="A454" s="227" t="s">
        <v>1305</v>
      </c>
      <c r="B454" s="227" t="s">
        <v>1306</v>
      </c>
      <c r="C454" s="228" t="s">
        <v>1412</v>
      </c>
      <c r="D454" s="229" t="s">
        <v>865</v>
      </c>
      <c r="E454" s="230">
        <v>1362.9</v>
      </c>
      <c r="F454" s="231" t="s">
        <v>1308</v>
      </c>
    </row>
    <row r="455" spans="1:6" x14ac:dyDescent="0.2">
      <c r="A455" s="227" t="s">
        <v>1305</v>
      </c>
      <c r="B455" s="227" t="s">
        <v>1306</v>
      </c>
      <c r="C455" s="228" t="s">
        <v>1413</v>
      </c>
      <c r="D455" s="229" t="s">
        <v>865</v>
      </c>
      <c r="E455" s="230">
        <v>114.46</v>
      </c>
      <c r="F455" s="231" t="s">
        <v>1308</v>
      </c>
    </row>
    <row r="456" spans="1:6" ht="18.95" customHeight="1" x14ac:dyDescent="0.2">
      <c r="A456" s="227" t="s">
        <v>1305</v>
      </c>
      <c r="B456" s="227" t="s">
        <v>1306</v>
      </c>
      <c r="C456" s="228" t="s">
        <v>1414</v>
      </c>
      <c r="D456" s="229" t="s">
        <v>865</v>
      </c>
      <c r="E456" s="230">
        <v>4399.9949999999999</v>
      </c>
      <c r="F456" s="231" t="s">
        <v>1308</v>
      </c>
    </row>
    <row r="457" spans="1:6" ht="18.95" customHeight="1" x14ac:dyDescent="0.2">
      <c r="A457" s="227" t="s">
        <v>1305</v>
      </c>
      <c r="B457" s="227" t="s">
        <v>1306</v>
      </c>
      <c r="C457" s="228" t="s">
        <v>1415</v>
      </c>
      <c r="D457" s="229" t="s">
        <v>865</v>
      </c>
      <c r="E457" s="230">
        <v>2242</v>
      </c>
      <c r="F457" s="231" t="s">
        <v>1308</v>
      </c>
    </row>
    <row r="458" spans="1:6" ht="18.95" customHeight="1" x14ac:dyDescent="0.2">
      <c r="A458" s="227" t="s">
        <v>1305</v>
      </c>
      <c r="B458" s="227" t="s">
        <v>1306</v>
      </c>
      <c r="C458" s="228" t="s">
        <v>1416</v>
      </c>
      <c r="D458" s="229" t="s">
        <v>865</v>
      </c>
      <c r="E458" s="230">
        <v>1982.4</v>
      </c>
      <c r="F458" s="231" t="s">
        <v>1308</v>
      </c>
    </row>
    <row r="459" spans="1:6" ht="24" x14ac:dyDescent="0.2">
      <c r="A459" s="227" t="s">
        <v>1305</v>
      </c>
      <c r="B459" s="227" t="s">
        <v>1306</v>
      </c>
      <c r="C459" s="228" t="s">
        <v>1417</v>
      </c>
      <c r="D459" s="229" t="s">
        <v>865</v>
      </c>
      <c r="E459" s="230">
        <v>2006</v>
      </c>
      <c r="F459" s="231" t="s">
        <v>1308</v>
      </c>
    </row>
    <row r="460" spans="1:6" ht="15" customHeight="1" x14ac:dyDescent="0.2">
      <c r="A460" s="227" t="s">
        <v>1305</v>
      </c>
      <c r="B460" s="227" t="s">
        <v>1306</v>
      </c>
      <c r="C460" s="228" t="s">
        <v>1418</v>
      </c>
      <c r="D460" s="229" t="s">
        <v>865</v>
      </c>
      <c r="E460" s="230">
        <v>3186</v>
      </c>
      <c r="F460" s="231" t="s">
        <v>1308</v>
      </c>
    </row>
    <row r="461" spans="1:6" ht="24" x14ac:dyDescent="0.2">
      <c r="A461" s="227" t="s">
        <v>1305</v>
      </c>
      <c r="B461" s="227" t="s">
        <v>1306</v>
      </c>
      <c r="C461" s="228" t="s">
        <v>1419</v>
      </c>
      <c r="D461" s="229" t="s">
        <v>865</v>
      </c>
      <c r="E461" s="230">
        <v>2908.2525000000001</v>
      </c>
      <c r="F461" s="231" t="s">
        <v>1308</v>
      </c>
    </row>
    <row r="462" spans="1:6" ht="20.25" customHeight="1" x14ac:dyDescent="0.2">
      <c r="A462" s="227" t="s">
        <v>1305</v>
      </c>
      <c r="B462" s="227" t="s">
        <v>1306</v>
      </c>
      <c r="C462" s="228" t="s">
        <v>1420</v>
      </c>
      <c r="D462" s="229" t="s">
        <v>865</v>
      </c>
      <c r="E462" s="230">
        <v>4979.6000000000004</v>
      </c>
      <c r="F462" s="231" t="s">
        <v>1308</v>
      </c>
    </row>
    <row r="463" spans="1:6" ht="21.75" customHeight="1" x14ac:dyDescent="0.2">
      <c r="A463" s="227" t="s">
        <v>1305</v>
      </c>
      <c r="B463" s="227" t="s">
        <v>1306</v>
      </c>
      <c r="C463" s="228" t="s">
        <v>1421</v>
      </c>
      <c r="D463" s="229" t="s">
        <v>865</v>
      </c>
      <c r="E463" s="230">
        <v>4248</v>
      </c>
      <c r="F463" s="231" t="s">
        <v>1308</v>
      </c>
    </row>
    <row r="464" spans="1:6" ht="21.75" customHeight="1" x14ac:dyDescent="0.2">
      <c r="A464" s="227" t="s">
        <v>1305</v>
      </c>
      <c r="B464" s="227" t="s">
        <v>1306</v>
      </c>
      <c r="C464" s="228" t="s">
        <v>1422</v>
      </c>
      <c r="D464" s="229" t="s">
        <v>865</v>
      </c>
      <c r="E464" s="230">
        <v>2419</v>
      </c>
      <c r="F464" s="231" t="s">
        <v>1308</v>
      </c>
    </row>
    <row r="465" spans="1:6" ht="15" customHeight="1" x14ac:dyDescent="0.2">
      <c r="A465" s="227" t="s">
        <v>1305</v>
      </c>
      <c r="B465" s="227" t="s">
        <v>1306</v>
      </c>
      <c r="C465" s="228" t="s">
        <v>1423</v>
      </c>
      <c r="D465" s="229" t="s">
        <v>865</v>
      </c>
      <c r="E465" s="230">
        <v>5015</v>
      </c>
      <c r="F465" s="231" t="s">
        <v>1308</v>
      </c>
    </row>
    <row r="466" spans="1:6" ht="17.100000000000001" customHeight="1" x14ac:dyDescent="0.2">
      <c r="A466" s="227" t="s">
        <v>1305</v>
      </c>
      <c r="B466" s="227" t="s">
        <v>1306</v>
      </c>
      <c r="C466" s="228" t="s">
        <v>1424</v>
      </c>
      <c r="D466" s="229" t="s">
        <v>865</v>
      </c>
      <c r="E466" s="230">
        <v>4398.45</v>
      </c>
      <c r="F466" s="231" t="s">
        <v>1308</v>
      </c>
    </row>
    <row r="467" spans="1:6" ht="14.1" customHeight="1" x14ac:dyDescent="0.2">
      <c r="A467" s="227" t="s">
        <v>1305</v>
      </c>
      <c r="B467" s="227" t="s">
        <v>1306</v>
      </c>
      <c r="C467" s="228" t="s">
        <v>1425</v>
      </c>
      <c r="D467" s="229" t="s">
        <v>865</v>
      </c>
      <c r="E467" s="230">
        <v>8142</v>
      </c>
      <c r="F467" s="231" t="s">
        <v>1308</v>
      </c>
    </row>
    <row r="468" spans="1:6" ht="14.1" customHeight="1" x14ac:dyDescent="0.2">
      <c r="A468" s="227" t="s">
        <v>1305</v>
      </c>
      <c r="B468" s="227" t="s">
        <v>1306</v>
      </c>
      <c r="C468" s="228" t="s">
        <v>1426</v>
      </c>
      <c r="D468" s="229" t="s">
        <v>865</v>
      </c>
      <c r="E468" s="230">
        <v>6608</v>
      </c>
      <c r="F468" s="231" t="s">
        <v>1308</v>
      </c>
    </row>
    <row r="469" spans="1:6" ht="15" customHeight="1" x14ac:dyDescent="0.2">
      <c r="A469" s="227" t="s">
        <v>1305</v>
      </c>
      <c r="B469" s="227" t="s">
        <v>1306</v>
      </c>
      <c r="C469" s="228" t="s">
        <v>1427</v>
      </c>
      <c r="D469" s="229" t="s">
        <v>865</v>
      </c>
      <c r="E469" s="230">
        <v>1899.8</v>
      </c>
      <c r="F469" s="231" t="s">
        <v>1308</v>
      </c>
    </row>
    <row r="470" spans="1:6" ht="24" x14ac:dyDescent="0.2">
      <c r="A470" s="227" t="s">
        <v>1305</v>
      </c>
      <c r="B470" s="227" t="s">
        <v>1306</v>
      </c>
      <c r="C470" s="228" t="s">
        <v>1428</v>
      </c>
      <c r="D470" s="229" t="s">
        <v>865</v>
      </c>
      <c r="E470" s="230">
        <v>7788</v>
      </c>
      <c r="F470" s="231" t="s">
        <v>1308</v>
      </c>
    </row>
    <row r="471" spans="1:6" ht="24" x14ac:dyDescent="0.2">
      <c r="A471" s="227" t="s">
        <v>1305</v>
      </c>
      <c r="B471" s="227" t="s">
        <v>1306</v>
      </c>
      <c r="C471" s="228" t="s">
        <v>1429</v>
      </c>
      <c r="D471" s="229" t="s">
        <v>865</v>
      </c>
      <c r="E471" s="230">
        <v>8732</v>
      </c>
      <c r="F471" s="231" t="s">
        <v>1308</v>
      </c>
    </row>
    <row r="472" spans="1:6" ht="14.1" customHeight="1" x14ac:dyDescent="0.2">
      <c r="A472" s="227" t="s">
        <v>1305</v>
      </c>
      <c r="B472" s="227" t="s">
        <v>1306</v>
      </c>
      <c r="C472" s="228" t="s">
        <v>1430</v>
      </c>
      <c r="D472" s="229" t="s">
        <v>865</v>
      </c>
      <c r="E472" s="230">
        <v>1911.01</v>
      </c>
      <c r="F472" s="231" t="s">
        <v>1308</v>
      </c>
    </row>
    <row r="473" spans="1:6" ht="14.1" customHeight="1" x14ac:dyDescent="0.2">
      <c r="A473" s="227" t="s">
        <v>1305</v>
      </c>
      <c r="B473" s="227" t="s">
        <v>1306</v>
      </c>
      <c r="C473" s="228" t="s">
        <v>1431</v>
      </c>
      <c r="D473" s="229" t="s">
        <v>865</v>
      </c>
      <c r="E473" s="230">
        <v>7670</v>
      </c>
      <c r="F473" s="231" t="s">
        <v>1308</v>
      </c>
    </row>
    <row r="474" spans="1:6" ht="15.95" customHeight="1" x14ac:dyDescent="0.2">
      <c r="A474" s="227" t="s">
        <v>1305</v>
      </c>
      <c r="B474" s="227" t="s">
        <v>1306</v>
      </c>
      <c r="C474" s="228" t="s">
        <v>1432</v>
      </c>
      <c r="D474" s="229" t="s">
        <v>865</v>
      </c>
      <c r="E474" s="230">
        <v>14.75</v>
      </c>
      <c r="F474" s="231" t="s">
        <v>1308</v>
      </c>
    </row>
    <row r="475" spans="1:6" ht="15.95" customHeight="1" x14ac:dyDescent="0.2">
      <c r="A475" s="227" t="s">
        <v>1305</v>
      </c>
      <c r="B475" s="227" t="s">
        <v>1306</v>
      </c>
      <c r="C475" s="228" t="s">
        <v>1433</v>
      </c>
      <c r="D475" s="229" t="s">
        <v>865</v>
      </c>
      <c r="E475" s="230">
        <v>233.64</v>
      </c>
      <c r="F475" s="231" t="s">
        <v>1308</v>
      </c>
    </row>
    <row r="476" spans="1:6" ht="15" customHeight="1" x14ac:dyDescent="0.2">
      <c r="A476" s="235" t="s">
        <v>1434</v>
      </c>
      <c r="B476" s="235" t="s">
        <v>1435</v>
      </c>
      <c r="C476" s="236" t="s">
        <v>1436</v>
      </c>
      <c r="D476" s="237" t="s">
        <v>1261</v>
      </c>
      <c r="E476" s="238">
        <v>250</v>
      </c>
      <c r="F476" s="239" t="s">
        <v>1437</v>
      </c>
    </row>
    <row r="477" spans="1:6" x14ac:dyDescent="0.2">
      <c r="A477" s="235" t="s">
        <v>1434</v>
      </c>
      <c r="B477" s="235" t="s">
        <v>1435</v>
      </c>
      <c r="C477" s="236" t="s">
        <v>1438</v>
      </c>
      <c r="D477" s="237" t="s">
        <v>865</v>
      </c>
      <c r="E477" s="238">
        <v>362.25</v>
      </c>
      <c r="F477" s="239" t="s">
        <v>1439</v>
      </c>
    </row>
    <row r="478" spans="1:6" ht="15" customHeight="1" x14ac:dyDescent="0.2">
      <c r="A478" s="235" t="s">
        <v>1434</v>
      </c>
      <c r="B478" s="235" t="s">
        <v>1435</v>
      </c>
      <c r="C478" s="236" t="s">
        <v>1440</v>
      </c>
      <c r="D478" s="237" t="s">
        <v>865</v>
      </c>
      <c r="E478" s="238">
        <v>402.67669999999998</v>
      </c>
      <c r="F478" s="239" t="s">
        <v>1437</v>
      </c>
    </row>
    <row r="479" spans="1:6" x14ac:dyDescent="0.2">
      <c r="A479" s="235" t="s">
        <v>1434</v>
      </c>
      <c r="B479" s="235" t="s">
        <v>1435</v>
      </c>
      <c r="C479" s="240" t="s">
        <v>1441</v>
      </c>
      <c r="D479" s="241" t="s">
        <v>865</v>
      </c>
      <c r="E479" s="242">
        <v>475.16</v>
      </c>
      <c r="F479" s="239" t="s">
        <v>1439</v>
      </c>
    </row>
    <row r="480" spans="1:6" ht="15.95" customHeight="1" x14ac:dyDescent="0.2">
      <c r="A480" s="235" t="s">
        <v>1434</v>
      </c>
      <c r="B480" s="235" t="s">
        <v>1435</v>
      </c>
      <c r="C480" s="236" t="s">
        <v>1442</v>
      </c>
      <c r="D480" s="237" t="s">
        <v>865</v>
      </c>
      <c r="E480" s="238">
        <v>466.1</v>
      </c>
      <c r="F480" s="239" t="s">
        <v>1437</v>
      </c>
    </row>
    <row r="481" spans="1:6" x14ac:dyDescent="0.2">
      <c r="A481" s="235" t="s">
        <v>1434</v>
      </c>
      <c r="B481" s="235" t="s">
        <v>1435</v>
      </c>
      <c r="C481" s="236" t="s">
        <v>1443</v>
      </c>
      <c r="D481" s="237" t="s">
        <v>865</v>
      </c>
      <c r="E481" s="238">
        <v>475.16</v>
      </c>
      <c r="F481" s="239" t="s">
        <v>1439</v>
      </c>
    </row>
    <row r="482" spans="1:6" ht="17.100000000000001" customHeight="1" x14ac:dyDescent="0.2">
      <c r="A482" s="235" t="s">
        <v>1434</v>
      </c>
      <c r="B482" s="235" t="s">
        <v>1435</v>
      </c>
      <c r="C482" s="236" t="s">
        <v>1444</v>
      </c>
      <c r="D482" s="237" t="s">
        <v>1181</v>
      </c>
      <c r="E482" s="238">
        <v>148</v>
      </c>
      <c r="F482" s="239" t="s">
        <v>1437</v>
      </c>
    </row>
    <row r="483" spans="1:6" x14ac:dyDescent="0.2">
      <c r="A483" s="235" t="s">
        <v>1434</v>
      </c>
      <c r="B483" s="235" t="s">
        <v>1435</v>
      </c>
      <c r="C483" s="236" t="s">
        <v>1445</v>
      </c>
      <c r="D483" s="237" t="s">
        <v>1181</v>
      </c>
      <c r="E483" s="238">
        <v>393.75</v>
      </c>
      <c r="F483" s="239" t="s">
        <v>1439</v>
      </c>
    </row>
    <row r="484" spans="1:6" x14ac:dyDescent="0.2">
      <c r="A484" s="235" t="s">
        <v>1434</v>
      </c>
      <c r="B484" s="235" t="s">
        <v>1435</v>
      </c>
      <c r="C484" s="236" t="s">
        <v>1446</v>
      </c>
      <c r="D484" s="237" t="s">
        <v>865</v>
      </c>
      <c r="E484" s="238">
        <v>1535.12</v>
      </c>
      <c r="F484" s="239" t="s">
        <v>1439</v>
      </c>
    </row>
    <row r="485" spans="1:6" x14ac:dyDescent="0.2">
      <c r="A485" s="235" t="s">
        <v>1434</v>
      </c>
      <c r="B485" s="235" t="s">
        <v>1435</v>
      </c>
      <c r="C485" s="236" t="s">
        <v>1447</v>
      </c>
      <c r="D485" s="237" t="s">
        <v>865</v>
      </c>
      <c r="E485" s="238">
        <v>1300.95</v>
      </c>
      <c r="F485" s="239" t="s">
        <v>1437</v>
      </c>
    </row>
    <row r="486" spans="1:6" x14ac:dyDescent="0.2">
      <c r="A486" s="235" t="s">
        <v>1434</v>
      </c>
      <c r="B486" s="235" t="s">
        <v>1435</v>
      </c>
      <c r="C486" s="236" t="s">
        <v>1448</v>
      </c>
      <c r="D486" s="237" t="s">
        <v>865</v>
      </c>
      <c r="E486" s="238">
        <v>299.72000000000003</v>
      </c>
      <c r="F486" s="239" t="s">
        <v>1439</v>
      </c>
    </row>
    <row r="487" spans="1:6" x14ac:dyDescent="0.2">
      <c r="A487" s="235" t="s">
        <v>1434</v>
      </c>
      <c r="B487" s="235" t="s">
        <v>1435</v>
      </c>
      <c r="C487" s="236" t="s">
        <v>1449</v>
      </c>
      <c r="D487" s="237" t="s">
        <v>865</v>
      </c>
      <c r="E487" s="238">
        <v>236</v>
      </c>
      <c r="F487" s="239" t="s">
        <v>1437</v>
      </c>
    </row>
    <row r="488" spans="1:6" x14ac:dyDescent="0.2">
      <c r="A488" s="235" t="s">
        <v>1434</v>
      </c>
      <c r="B488" s="235" t="s">
        <v>1435</v>
      </c>
      <c r="C488" s="236" t="s">
        <v>1450</v>
      </c>
      <c r="D488" s="237" t="s">
        <v>865</v>
      </c>
      <c r="E488" s="238">
        <v>131.58000000000001</v>
      </c>
      <c r="F488" s="239" t="s">
        <v>1439</v>
      </c>
    </row>
    <row r="489" spans="1:6" ht="21.95" customHeight="1" x14ac:dyDescent="0.2">
      <c r="A489" s="235" t="s">
        <v>1434</v>
      </c>
      <c r="B489" s="235" t="s">
        <v>1435</v>
      </c>
      <c r="C489" s="236" t="s">
        <v>1451</v>
      </c>
      <c r="D489" s="237" t="s">
        <v>865</v>
      </c>
      <c r="E489" s="238">
        <v>136.29</v>
      </c>
      <c r="F489" s="239" t="s">
        <v>1437</v>
      </c>
    </row>
    <row r="490" spans="1:6" ht="24.75" customHeight="1" x14ac:dyDescent="0.2">
      <c r="A490" s="235" t="s">
        <v>1434</v>
      </c>
      <c r="B490" s="235" t="s">
        <v>1435</v>
      </c>
      <c r="C490" s="236" t="s">
        <v>1452</v>
      </c>
      <c r="D490" s="237" t="s">
        <v>865</v>
      </c>
      <c r="E490" s="238">
        <v>74.34</v>
      </c>
      <c r="F490" s="239" t="s">
        <v>1437</v>
      </c>
    </row>
    <row r="491" spans="1:6" ht="27.75" customHeight="1" x14ac:dyDescent="0.2">
      <c r="A491" s="235" t="s">
        <v>1434</v>
      </c>
      <c r="B491" s="235" t="s">
        <v>1435</v>
      </c>
      <c r="C491" s="236" t="s">
        <v>1453</v>
      </c>
      <c r="D491" s="237" t="s">
        <v>865</v>
      </c>
      <c r="E491" s="238">
        <v>52.4983</v>
      </c>
      <c r="F491" s="239" t="s">
        <v>1437</v>
      </c>
    </row>
    <row r="492" spans="1:6" ht="24.95" customHeight="1" x14ac:dyDescent="0.2">
      <c r="A492" s="235" t="s">
        <v>1434</v>
      </c>
      <c r="B492" s="235" t="s">
        <v>1435</v>
      </c>
      <c r="C492" s="236" t="s">
        <v>1454</v>
      </c>
      <c r="D492" s="237" t="s">
        <v>865</v>
      </c>
      <c r="E492" s="238">
        <v>61.95</v>
      </c>
      <c r="F492" s="239" t="s">
        <v>1439</v>
      </c>
    </row>
    <row r="493" spans="1:6" ht="20.100000000000001" customHeight="1" x14ac:dyDescent="0.2">
      <c r="A493" s="235" t="s">
        <v>1434</v>
      </c>
      <c r="B493" s="235" t="s">
        <v>1435</v>
      </c>
      <c r="C493" s="236" t="s">
        <v>1455</v>
      </c>
      <c r="D493" s="237" t="s">
        <v>865</v>
      </c>
      <c r="E493" s="238">
        <v>94.352699999999999</v>
      </c>
      <c r="F493" s="239" t="s">
        <v>1437</v>
      </c>
    </row>
    <row r="494" spans="1:6" ht="21" customHeight="1" x14ac:dyDescent="0.2">
      <c r="A494" s="235" t="s">
        <v>1434</v>
      </c>
      <c r="B494" s="235" t="s">
        <v>1435</v>
      </c>
      <c r="C494" s="236" t="s">
        <v>1456</v>
      </c>
      <c r="D494" s="237" t="s">
        <v>865</v>
      </c>
      <c r="E494" s="238">
        <v>131.58199999999999</v>
      </c>
      <c r="F494" s="239" t="s">
        <v>1439</v>
      </c>
    </row>
    <row r="495" spans="1:6" ht="22.5" customHeight="1" x14ac:dyDescent="0.2">
      <c r="A495" s="235" t="s">
        <v>1434</v>
      </c>
      <c r="B495" s="235" t="s">
        <v>1435</v>
      </c>
      <c r="C495" s="236" t="s">
        <v>1457</v>
      </c>
      <c r="D495" s="237" t="s">
        <v>865</v>
      </c>
      <c r="E495" s="238">
        <v>94.352699999999999</v>
      </c>
      <c r="F495" s="239" t="s">
        <v>1437</v>
      </c>
    </row>
    <row r="496" spans="1:6" ht="21" customHeight="1" x14ac:dyDescent="0.2">
      <c r="A496" s="235" t="s">
        <v>1434</v>
      </c>
      <c r="B496" s="235" t="s">
        <v>1435</v>
      </c>
      <c r="C496" s="236" t="s">
        <v>1458</v>
      </c>
      <c r="D496" s="237" t="s">
        <v>865</v>
      </c>
      <c r="E496" s="238">
        <v>131.58199999999999</v>
      </c>
      <c r="F496" s="239" t="s">
        <v>1439</v>
      </c>
    </row>
    <row r="497" spans="1:6" ht="21" customHeight="1" x14ac:dyDescent="0.2">
      <c r="A497" s="235" t="s">
        <v>1434</v>
      </c>
      <c r="B497" s="235" t="s">
        <v>1435</v>
      </c>
      <c r="C497" s="236" t="s">
        <v>1459</v>
      </c>
      <c r="D497" s="237" t="s">
        <v>865</v>
      </c>
      <c r="E497" s="238">
        <v>43.365299999999998</v>
      </c>
      <c r="F497" s="239" t="s">
        <v>1437</v>
      </c>
    </row>
    <row r="498" spans="1:6" ht="23.25" customHeight="1" x14ac:dyDescent="0.2">
      <c r="A498" s="235" t="s">
        <v>1434</v>
      </c>
      <c r="B498" s="235" t="s">
        <v>1435</v>
      </c>
      <c r="C498" s="236" t="s">
        <v>1460</v>
      </c>
      <c r="D498" s="237" t="s">
        <v>865</v>
      </c>
      <c r="E498" s="238">
        <v>78.75</v>
      </c>
      <c r="F498" s="239" t="s">
        <v>1439</v>
      </c>
    </row>
    <row r="499" spans="1:6" ht="23.25" customHeight="1" x14ac:dyDescent="0.2">
      <c r="A499" s="235" t="s">
        <v>1434</v>
      </c>
      <c r="B499" s="235" t="s">
        <v>1435</v>
      </c>
      <c r="C499" s="236" t="s">
        <v>1461</v>
      </c>
      <c r="D499" s="237" t="s">
        <v>865</v>
      </c>
      <c r="E499" s="238">
        <v>73</v>
      </c>
      <c r="F499" s="239" t="s">
        <v>1437</v>
      </c>
    </row>
    <row r="500" spans="1:6" ht="15" customHeight="1" x14ac:dyDescent="0.2">
      <c r="A500" s="235" t="s">
        <v>1434</v>
      </c>
      <c r="B500" s="235" t="s">
        <v>1435</v>
      </c>
      <c r="C500" s="236" t="s">
        <v>1462</v>
      </c>
      <c r="D500" s="237" t="s">
        <v>865</v>
      </c>
      <c r="E500" s="238">
        <v>723.70500000000004</v>
      </c>
      <c r="F500" s="239" t="s">
        <v>1439</v>
      </c>
    </row>
    <row r="501" spans="1:6" ht="22.5" customHeight="1" x14ac:dyDescent="0.2">
      <c r="A501" s="235" t="s">
        <v>1434</v>
      </c>
      <c r="B501" s="235" t="s">
        <v>1435</v>
      </c>
      <c r="C501" s="236" t="s">
        <v>1463</v>
      </c>
      <c r="D501" s="237" t="s">
        <v>865</v>
      </c>
      <c r="E501" s="238">
        <v>224.2</v>
      </c>
      <c r="F501" s="239" t="s">
        <v>1437</v>
      </c>
    </row>
    <row r="502" spans="1:6" ht="26.25" customHeight="1" x14ac:dyDescent="0.2">
      <c r="A502" s="235" t="s">
        <v>1434</v>
      </c>
      <c r="B502" s="235" t="s">
        <v>1435</v>
      </c>
      <c r="C502" s="236" t="s">
        <v>1464</v>
      </c>
      <c r="D502" s="237" t="s">
        <v>865</v>
      </c>
      <c r="E502" s="238">
        <v>433.65</v>
      </c>
      <c r="F502" s="239" t="s">
        <v>1439</v>
      </c>
    </row>
    <row r="503" spans="1:6" ht="18.95" customHeight="1" x14ac:dyDescent="0.2">
      <c r="A503" s="235" t="s">
        <v>1434</v>
      </c>
      <c r="B503" s="235" t="s">
        <v>1435</v>
      </c>
      <c r="C503" s="236" t="s">
        <v>1465</v>
      </c>
      <c r="D503" s="237" t="s">
        <v>865</v>
      </c>
      <c r="E503" s="238">
        <v>224.2</v>
      </c>
      <c r="F503" s="239" t="s">
        <v>1437</v>
      </c>
    </row>
    <row r="504" spans="1:6" ht="17.100000000000001" customHeight="1" x14ac:dyDescent="0.2">
      <c r="A504" s="235" t="s">
        <v>1434</v>
      </c>
      <c r="B504" s="235" t="s">
        <v>1435</v>
      </c>
      <c r="C504" s="236" t="s">
        <v>1466</v>
      </c>
      <c r="D504" s="237" t="s">
        <v>865</v>
      </c>
      <c r="E504" s="238">
        <v>433.65</v>
      </c>
      <c r="F504" s="239" t="s">
        <v>1439</v>
      </c>
    </row>
    <row r="505" spans="1:6" ht="29.25" customHeight="1" x14ac:dyDescent="0.2">
      <c r="A505" s="235" t="s">
        <v>1434</v>
      </c>
      <c r="B505" s="235" t="s">
        <v>1435</v>
      </c>
      <c r="C505" s="236" t="s">
        <v>1467</v>
      </c>
      <c r="D505" s="237" t="s">
        <v>865</v>
      </c>
      <c r="E505" s="238">
        <v>224.2</v>
      </c>
      <c r="F505" s="239" t="s">
        <v>1437</v>
      </c>
    </row>
    <row r="506" spans="1:6" ht="31.5" customHeight="1" x14ac:dyDescent="0.2">
      <c r="A506" s="235" t="s">
        <v>1434</v>
      </c>
      <c r="B506" s="235" t="s">
        <v>1435</v>
      </c>
      <c r="C506" s="236" t="s">
        <v>1468</v>
      </c>
      <c r="D506" s="237" t="s">
        <v>865</v>
      </c>
      <c r="E506" s="238">
        <v>433.65</v>
      </c>
      <c r="F506" s="239" t="s">
        <v>1439</v>
      </c>
    </row>
    <row r="507" spans="1:6" ht="24.75" customHeight="1" x14ac:dyDescent="0.2">
      <c r="A507" s="235" t="s">
        <v>1434</v>
      </c>
      <c r="B507" s="235" t="s">
        <v>1435</v>
      </c>
      <c r="C507" s="236" t="s">
        <v>1469</v>
      </c>
      <c r="D507" s="237" t="s">
        <v>865</v>
      </c>
      <c r="E507" s="238">
        <v>99.12</v>
      </c>
      <c r="F507" s="239" t="s">
        <v>1437</v>
      </c>
    </row>
    <row r="508" spans="1:6" x14ac:dyDescent="0.2">
      <c r="A508" s="235" t="s">
        <v>1434</v>
      </c>
      <c r="B508" s="235" t="s">
        <v>1435</v>
      </c>
      <c r="C508" s="236" t="s">
        <v>1470</v>
      </c>
      <c r="D508" s="237" t="s">
        <v>865</v>
      </c>
      <c r="E508" s="238">
        <v>384.09</v>
      </c>
      <c r="F508" s="239" t="s">
        <v>1437</v>
      </c>
    </row>
    <row r="509" spans="1:6" ht="36.75" customHeight="1" x14ac:dyDescent="0.2">
      <c r="A509" s="235" t="s">
        <v>1434</v>
      </c>
      <c r="B509" s="235" t="s">
        <v>1435</v>
      </c>
      <c r="C509" s="236" t="s">
        <v>1471</v>
      </c>
      <c r="D509" s="237" t="s">
        <v>865</v>
      </c>
      <c r="E509" s="238">
        <v>3669.75</v>
      </c>
      <c r="F509" s="239" t="s">
        <v>1437</v>
      </c>
    </row>
    <row r="510" spans="1:6" ht="37.5" customHeight="1" x14ac:dyDescent="0.2">
      <c r="A510" s="235" t="s">
        <v>1434</v>
      </c>
      <c r="B510" s="235" t="s">
        <v>1435</v>
      </c>
      <c r="C510" s="236" t="s">
        <v>1472</v>
      </c>
      <c r="D510" s="237" t="s">
        <v>1261</v>
      </c>
      <c r="E510" s="238">
        <v>183.75</v>
      </c>
      <c r="F510" s="239" t="s">
        <v>1437</v>
      </c>
    </row>
    <row r="511" spans="1:6" ht="34.5" customHeight="1" x14ac:dyDescent="0.2">
      <c r="A511" s="235" t="s">
        <v>1434</v>
      </c>
      <c r="B511" s="235" t="s">
        <v>1435</v>
      </c>
      <c r="C511" s="236" t="s">
        <v>1473</v>
      </c>
      <c r="D511" s="237" t="s">
        <v>865</v>
      </c>
      <c r="E511" s="238">
        <v>255.86</v>
      </c>
      <c r="F511" s="239" t="s">
        <v>1439</v>
      </c>
    </row>
    <row r="512" spans="1:6" ht="30.75" customHeight="1" x14ac:dyDescent="0.2">
      <c r="A512" s="235" t="s">
        <v>1434</v>
      </c>
      <c r="B512" s="235" t="s">
        <v>1435</v>
      </c>
      <c r="C512" s="236" t="s">
        <v>1474</v>
      </c>
      <c r="D512" s="237" t="s">
        <v>865</v>
      </c>
      <c r="E512" s="238">
        <v>548.26</v>
      </c>
      <c r="F512" s="239" t="s">
        <v>1439</v>
      </c>
    </row>
    <row r="513" spans="1:6" ht="35.25" customHeight="1" x14ac:dyDescent="0.2">
      <c r="A513" s="235" t="s">
        <v>1434</v>
      </c>
      <c r="B513" s="235" t="s">
        <v>1435</v>
      </c>
      <c r="C513" s="236" t="s">
        <v>1475</v>
      </c>
      <c r="D513" s="237" t="s">
        <v>865</v>
      </c>
      <c r="E513" s="238">
        <v>3422</v>
      </c>
      <c r="F513" s="239" t="s">
        <v>1437</v>
      </c>
    </row>
    <row r="514" spans="1:6" ht="24.75" customHeight="1" x14ac:dyDescent="0.2">
      <c r="A514" s="88" t="s">
        <v>672</v>
      </c>
      <c r="B514" s="88" t="s">
        <v>1476</v>
      </c>
      <c r="C514" s="89" t="s">
        <v>1477</v>
      </c>
      <c r="D514" s="90" t="s">
        <v>1282</v>
      </c>
      <c r="E514" s="91">
        <v>1700</v>
      </c>
      <c r="F514" s="128" t="s">
        <v>1478</v>
      </c>
    </row>
    <row r="515" spans="1:6" ht="27" customHeight="1" x14ac:dyDescent="0.2">
      <c r="A515" s="88" t="s">
        <v>672</v>
      </c>
      <c r="B515" s="88" t="s">
        <v>1476</v>
      </c>
      <c r="C515" s="89" t="s">
        <v>1479</v>
      </c>
      <c r="D515" s="90" t="s">
        <v>1282</v>
      </c>
      <c r="E515" s="91">
        <v>3050</v>
      </c>
      <c r="F515" s="128" t="s">
        <v>1478</v>
      </c>
    </row>
    <row r="516" spans="1:6" ht="27.75" customHeight="1" x14ac:dyDescent="0.2">
      <c r="A516" s="88" t="s">
        <v>672</v>
      </c>
      <c r="B516" s="88" t="s">
        <v>1476</v>
      </c>
      <c r="C516" s="89" t="s">
        <v>1480</v>
      </c>
      <c r="D516" s="90" t="s">
        <v>1282</v>
      </c>
      <c r="E516" s="91">
        <v>2150</v>
      </c>
      <c r="F516" s="128" t="s">
        <v>1478</v>
      </c>
    </row>
    <row r="517" spans="1:6" ht="32.25" customHeight="1" x14ac:dyDescent="0.2">
      <c r="A517" s="88" t="s">
        <v>672</v>
      </c>
      <c r="B517" s="88" t="s">
        <v>1476</v>
      </c>
      <c r="C517" s="89" t="s">
        <v>1481</v>
      </c>
      <c r="D517" s="90" t="s">
        <v>1282</v>
      </c>
      <c r="E517" s="91">
        <v>2750</v>
      </c>
      <c r="F517" s="128" t="s">
        <v>1478</v>
      </c>
    </row>
    <row r="518" spans="1:6" x14ac:dyDescent="0.2">
      <c r="A518" s="88" t="s">
        <v>832</v>
      </c>
      <c r="B518" s="88" t="s">
        <v>1482</v>
      </c>
      <c r="C518" s="89" t="s">
        <v>832</v>
      </c>
      <c r="D518" s="90" t="s">
        <v>526</v>
      </c>
      <c r="E518" s="91">
        <v>0</v>
      </c>
      <c r="F518" s="128" t="s">
        <v>1483</v>
      </c>
    </row>
    <row r="519" spans="1:6" x14ac:dyDescent="0.2">
      <c r="A519" s="88" t="s">
        <v>833</v>
      </c>
      <c r="B519" s="88" t="s">
        <v>1482</v>
      </c>
      <c r="C519" s="89" t="s">
        <v>833</v>
      </c>
      <c r="D519" s="90" t="s">
        <v>526</v>
      </c>
      <c r="E519" s="91">
        <v>0</v>
      </c>
      <c r="F519" s="128" t="s">
        <v>1484</v>
      </c>
    </row>
    <row r="520" spans="1:6" x14ac:dyDescent="0.2">
      <c r="A520" s="88" t="s">
        <v>834</v>
      </c>
      <c r="B520" s="88" t="s">
        <v>1482</v>
      </c>
      <c r="C520" s="89" t="s">
        <v>834</v>
      </c>
      <c r="D520" s="90" t="s">
        <v>526</v>
      </c>
      <c r="E520" s="91">
        <v>0</v>
      </c>
      <c r="F520" s="128" t="s">
        <v>1485</v>
      </c>
    </row>
    <row r="539" spans="1:4" ht="15" x14ac:dyDescent="0.25">
      <c r="A539" s="243" t="s">
        <v>517</v>
      </c>
      <c r="B539" s="244"/>
      <c r="C539" s="244"/>
      <c r="D539" s="244"/>
    </row>
    <row r="540" spans="1:4" ht="15" x14ac:dyDescent="0.25">
      <c r="A540" s="246" t="s">
        <v>749</v>
      </c>
      <c r="B540" s="244" t="s">
        <v>863</v>
      </c>
      <c r="C540" s="244"/>
      <c r="D540" s="244"/>
    </row>
    <row r="541" spans="1:4" ht="15" x14ac:dyDescent="0.25">
      <c r="A541" s="246" t="s">
        <v>742</v>
      </c>
      <c r="B541" s="244" t="s">
        <v>868</v>
      </c>
      <c r="C541" s="244"/>
      <c r="D541" s="244"/>
    </row>
    <row r="542" spans="1:4" ht="15" x14ac:dyDescent="0.25">
      <c r="A542" s="246" t="s">
        <v>764</v>
      </c>
      <c r="B542" s="244" t="s">
        <v>890</v>
      </c>
      <c r="C542" s="244"/>
      <c r="D542" s="244"/>
    </row>
    <row r="543" spans="1:4" ht="15" x14ac:dyDescent="0.25">
      <c r="A543" s="246" t="s">
        <v>832</v>
      </c>
      <c r="B543" s="244" t="s">
        <v>1482</v>
      </c>
      <c r="C543" s="244"/>
      <c r="D543" s="244"/>
    </row>
    <row r="544" spans="1:4" ht="15" x14ac:dyDescent="0.25">
      <c r="A544" s="246" t="s">
        <v>833</v>
      </c>
      <c r="B544" s="244" t="s">
        <v>1482</v>
      </c>
      <c r="C544" s="244"/>
      <c r="D544" s="244"/>
    </row>
    <row r="545" spans="1:4" ht="15" x14ac:dyDescent="0.25">
      <c r="A545" s="246" t="s">
        <v>900</v>
      </c>
      <c r="B545" s="244" t="s">
        <v>901</v>
      </c>
      <c r="C545" s="244"/>
      <c r="D545" s="244"/>
    </row>
    <row r="546" spans="1:4" ht="15" x14ac:dyDescent="0.25">
      <c r="A546" s="246" t="s">
        <v>838</v>
      </c>
      <c r="B546" s="244" t="s">
        <v>908</v>
      </c>
      <c r="C546" s="244"/>
      <c r="D546" s="244"/>
    </row>
    <row r="547" spans="1:4" ht="15" x14ac:dyDescent="0.25">
      <c r="A547" s="246" t="s">
        <v>829</v>
      </c>
      <c r="B547" s="244" t="s">
        <v>919</v>
      </c>
      <c r="C547" s="244"/>
      <c r="D547" s="244"/>
    </row>
    <row r="548" spans="1:4" ht="15" x14ac:dyDescent="0.25">
      <c r="A548" s="246" t="s">
        <v>1009</v>
      </c>
      <c r="B548" s="244" t="s">
        <v>1010</v>
      </c>
      <c r="C548" s="244"/>
      <c r="D548" s="244"/>
    </row>
    <row r="549" spans="1:4" ht="15" x14ac:dyDescent="0.25">
      <c r="A549" s="246" t="s">
        <v>858</v>
      </c>
      <c r="B549" s="244" t="s">
        <v>1016</v>
      </c>
      <c r="C549" s="244"/>
      <c r="D549" s="244"/>
    </row>
    <row r="550" spans="1:4" ht="15" x14ac:dyDescent="0.25">
      <c r="A550" s="246" t="s">
        <v>857</v>
      </c>
      <c r="B550" s="244" t="s">
        <v>1020</v>
      </c>
      <c r="C550" s="244"/>
      <c r="D550" s="244"/>
    </row>
    <row r="551" spans="1:4" ht="15" x14ac:dyDescent="0.25">
      <c r="A551" s="246" t="s">
        <v>783</v>
      </c>
      <c r="B551" s="244" t="s">
        <v>1025</v>
      </c>
      <c r="C551" s="244"/>
      <c r="D551" s="244"/>
    </row>
    <row r="552" spans="1:4" ht="15" x14ac:dyDescent="0.25">
      <c r="A552" s="246" t="s">
        <v>775</v>
      </c>
      <c r="B552" s="244" t="s">
        <v>1037</v>
      </c>
      <c r="C552" s="244"/>
      <c r="D552" s="244"/>
    </row>
    <row r="553" spans="1:4" ht="15" x14ac:dyDescent="0.25">
      <c r="A553" s="246" t="s">
        <v>670</v>
      </c>
      <c r="B553" s="244" t="s">
        <v>1069</v>
      </c>
      <c r="C553" s="244"/>
      <c r="D553" s="244"/>
    </row>
    <row r="554" spans="1:4" ht="15" x14ac:dyDescent="0.25">
      <c r="A554" s="246" t="s">
        <v>761</v>
      </c>
      <c r="B554" s="244" t="s">
        <v>1072</v>
      </c>
      <c r="C554" s="244"/>
      <c r="D554" s="244"/>
    </row>
    <row r="555" spans="1:4" ht="15" x14ac:dyDescent="0.25">
      <c r="A555" s="246" t="s">
        <v>709</v>
      </c>
      <c r="B555" s="244" t="s">
        <v>1082</v>
      </c>
      <c r="C555" s="244"/>
      <c r="D555" s="244"/>
    </row>
    <row r="556" spans="1:4" ht="15" x14ac:dyDescent="0.25">
      <c r="A556" s="246" t="s">
        <v>1086</v>
      </c>
      <c r="B556" s="244" t="s">
        <v>1082</v>
      </c>
      <c r="C556" s="244"/>
      <c r="D556" s="244"/>
    </row>
    <row r="557" spans="1:4" ht="15" x14ac:dyDescent="0.25">
      <c r="A557" s="246" t="s">
        <v>1091</v>
      </c>
      <c r="B557" s="244" t="s">
        <v>1082</v>
      </c>
      <c r="C557" s="244"/>
    </row>
    <row r="558" spans="1:4" ht="15" x14ac:dyDescent="0.25">
      <c r="A558" s="246" t="s">
        <v>1094</v>
      </c>
      <c r="B558" s="244" t="s">
        <v>1082</v>
      </c>
      <c r="C558" s="244"/>
    </row>
    <row r="559" spans="1:4" ht="15" x14ac:dyDescent="0.25">
      <c r="A559" s="246" t="s">
        <v>1103</v>
      </c>
      <c r="B559" s="244" t="s">
        <v>1082</v>
      </c>
      <c r="C559" s="244"/>
    </row>
    <row r="560" spans="1:4" ht="15" x14ac:dyDescent="0.25">
      <c r="A560" s="246" t="s">
        <v>795</v>
      </c>
      <c r="B560" s="244" t="s">
        <v>1108</v>
      </c>
      <c r="C560" s="244"/>
    </row>
    <row r="561" spans="1:3" ht="15" x14ac:dyDescent="0.25">
      <c r="A561" s="246" t="s">
        <v>820</v>
      </c>
      <c r="B561" s="244" t="s">
        <v>1125</v>
      </c>
      <c r="C561" s="244"/>
    </row>
    <row r="562" spans="1:3" ht="15" x14ac:dyDescent="0.25">
      <c r="A562" s="246" t="s">
        <v>1129</v>
      </c>
      <c r="B562" s="244" t="s">
        <v>1130</v>
      </c>
      <c r="C562" s="244"/>
    </row>
    <row r="563" spans="1:3" ht="15" x14ac:dyDescent="0.25">
      <c r="A563" s="246" t="s">
        <v>1157</v>
      </c>
      <c r="B563" s="244" t="s">
        <v>1158</v>
      </c>
      <c r="C563" s="244"/>
    </row>
    <row r="564" spans="1:3" ht="15" x14ac:dyDescent="0.25">
      <c r="A564" s="246" t="s">
        <v>1161</v>
      </c>
      <c r="B564" s="244" t="s">
        <v>1162</v>
      </c>
      <c r="C564" s="244"/>
    </row>
    <row r="565" spans="1:3" ht="15" x14ac:dyDescent="0.25">
      <c r="A565" s="246" t="s">
        <v>834</v>
      </c>
      <c r="B565" s="244" t="s">
        <v>1482</v>
      </c>
      <c r="C565" s="244"/>
    </row>
    <row r="566" spans="1:3" ht="15" x14ac:dyDescent="0.25">
      <c r="A566" s="246" t="s">
        <v>677</v>
      </c>
      <c r="B566" s="244" t="s">
        <v>1168</v>
      </c>
      <c r="C566" s="244"/>
    </row>
    <row r="567" spans="1:3" ht="15" x14ac:dyDescent="0.25">
      <c r="A567" s="246" t="s">
        <v>1171</v>
      </c>
      <c r="B567" s="244" t="s">
        <v>1172</v>
      </c>
      <c r="C567" s="244"/>
    </row>
    <row r="568" spans="1:3" ht="15" x14ac:dyDescent="0.25">
      <c r="A568" s="246" t="s">
        <v>755</v>
      </c>
      <c r="B568" s="244" t="s">
        <v>1175</v>
      </c>
      <c r="C568" s="244"/>
    </row>
    <row r="569" spans="1:3" ht="15" x14ac:dyDescent="0.25">
      <c r="A569" s="246" t="s">
        <v>767</v>
      </c>
      <c r="B569" s="244" t="s">
        <v>1179</v>
      </c>
      <c r="C569" s="244"/>
    </row>
    <row r="570" spans="1:3" ht="15" x14ac:dyDescent="0.25">
      <c r="A570" s="246" t="s">
        <v>772</v>
      </c>
      <c r="B570" s="244" t="s">
        <v>1183</v>
      </c>
      <c r="C570" s="244"/>
    </row>
    <row r="571" spans="1:3" ht="15" x14ac:dyDescent="0.25">
      <c r="A571" s="246" t="s">
        <v>752</v>
      </c>
      <c r="B571" s="244" t="s">
        <v>1188</v>
      </c>
      <c r="C571" s="244"/>
    </row>
    <row r="572" spans="1:3" ht="15" x14ac:dyDescent="0.25">
      <c r="A572" s="246" t="s">
        <v>771</v>
      </c>
      <c r="B572" s="244" t="s">
        <v>1216</v>
      </c>
      <c r="C572" s="244"/>
    </row>
    <row r="573" spans="1:3" ht="15" x14ac:dyDescent="0.25">
      <c r="A573" s="246" t="s">
        <v>802</v>
      </c>
      <c r="B573" s="244" t="s">
        <v>1223</v>
      </c>
      <c r="C573" s="244"/>
    </row>
    <row r="574" spans="1:3" ht="15" x14ac:dyDescent="0.25">
      <c r="A574" s="246" t="s">
        <v>758</v>
      </c>
      <c r="B574" s="244" t="s">
        <v>1247</v>
      </c>
      <c r="C574" s="244"/>
    </row>
    <row r="575" spans="1:3" ht="15" x14ac:dyDescent="0.25">
      <c r="A575" s="246" t="s">
        <v>774</v>
      </c>
      <c r="B575" s="244" t="s">
        <v>1269</v>
      </c>
      <c r="C575" s="244"/>
    </row>
    <row r="576" spans="1:3" ht="15" x14ac:dyDescent="0.25">
      <c r="A576" s="246" t="s">
        <v>1272</v>
      </c>
      <c r="B576" s="244" t="s">
        <v>1273</v>
      </c>
      <c r="C576" s="244"/>
    </row>
    <row r="577" spans="1:3" ht="15" x14ac:dyDescent="0.25">
      <c r="A577" s="246" t="s">
        <v>669</v>
      </c>
      <c r="B577" s="244" t="s">
        <v>1276</v>
      </c>
      <c r="C577" s="244"/>
    </row>
    <row r="578" spans="1:3" ht="15" x14ac:dyDescent="0.25">
      <c r="A578" s="246" t="s">
        <v>727</v>
      </c>
      <c r="B578" s="244" t="s">
        <v>1280</v>
      </c>
      <c r="C578" s="244"/>
    </row>
    <row r="579" spans="1:3" ht="15" x14ac:dyDescent="0.25">
      <c r="A579" s="246" t="s">
        <v>1284</v>
      </c>
      <c r="B579" s="244" t="s">
        <v>1285</v>
      </c>
      <c r="C579" s="244"/>
    </row>
    <row r="580" spans="1:3" ht="15" x14ac:dyDescent="0.25">
      <c r="A580" s="246" t="s">
        <v>1289</v>
      </c>
      <c r="B580" s="244" t="s">
        <v>1290</v>
      </c>
      <c r="C580" s="244"/>
    </row>
    <row r="581" spans="1:3" ht="15" x14ac:dyDescent="0.25">
      <c r="A581" s="246" t="s">
        <v>1305</v>
      </c>
      <c r="B581" s="244" t="s">
        <v>1306</v>
      </c>
      <c r="C581" s="244"/>
    </row>
    <row r="582" spans="1:3" ht="15" x14ac:dyDescent="0.25">
      <c r="A582" s="246" t="s">
        <v>1434</v>
      </c>
      <c r="B582" s="244" t="s">
        <v>1435</v>
      </c>
      <c r="C582" s="244"/>
    </row>
    <row r="583" spans="1:3" ht="15" x14ac:dyDescent="0.25">
      <c r="A583" s="246" t="s">
        <v>672</v>
      </c>
      <c r="B583" s="244" t="s">
        <v>1476</v>
      </c>
      <c r="C583" s="244"/>
    </row>
    <row r="584" spans="1:3" ht="15" x14ac:dyDescent="0.25">
      <c r="A584" s="246"/>
      <c r="B584" s="244"/>
      <c r="C584" s="244"/>
    </row>
    <row r="585" spans="1:3" ht="15" x14ac:dyDescent="0.25">
      <c r="B585" s="244"/>
    </row>
    <row r="586" spans="1:3" ht="15" x14ac:dyDescent="0.25">
      <c r="B586" s="244"/>
    </row>
    <row r="587" spans="1:3" ht="15" x14ac:dyDescent="0.25">
      <c r="B587" s="244"/>
    </row>
    <row r="588" spans="1:3" ht="15" x14ac:dyDescent="0.25">
      <c r="B588" s="244"/>
    </row>
    <row r="589" spans="1:3" ht="15" x14ac:dyDescent="0.25">
      <c r="B589" s="244"/>
    </row>
    <row r="590" spans="1:3" ht="15" x14ac:dyDescent="0.25">
      <c r="B590" s="244"/>
    </row>
    <row r="591" spans="1:3" ht="15" x14ac:dyDescent="0.25">
      <c r="B591" s="244"/>
    </row>
    <row r="592" spans="1:3" ht="15" x14ac:dyDescent="0.25">
      <c r="B592" s="244"/>
    </row>
    <row r="593" spans="2:2" ht="15" x14ac:dyDescent="0.25">
      <c r="B593" s="244"/>
    </row>
    <row r="594" spans="2:2" ht="15" x14ac:dyDescent="0.25">
      <c r="B594" s="244"/>
    </row>
    <row r="595" spans="2:2" ht="15" x14ac:dyDescent="0.25">
      <c r="B595" s="244"/>
    </row>
    <row r="596" spans="2:2" ht="15" x14ac:dyDescent="0.25">
      <c r="B596" s="244"/>
    </row>
    <row r="597" spans="2:2" ht="15" x14ac:dyDescent="0.25">
      <c r="B597" s="244"/>
    </row>
    <row r="598" spans="2:2" ht="15" x14ac:dyDescent="0.25">
      <c r="B598" s="244"/>
    </row>
    <row r="599" spans="2:2" ht="15" x14ac:dyDescent="0.25">
      <c r="B599" s="244"/>
    </row>
    <row r="600" spans="2:2" ht="15" x14ac:dyDescent="0.25">
      <c r="B600" s="244"/>
    </row>
    <row r="601" spans="2:2" ht="15" x14ac:dyDescent="0.25">
      <c r="B601" s="244"/>
    </row>
    <row r="602" spans="2:2" ht="15" x14ac:dyDescent="0.25">
      <c r="B602" s="244"/>
    </row>
    <row r="603" spans="2:2" ht="15" x14ac:dyDescent="0.25">
      <c r="B603" s="244"/>
    </row>
    <row r="604" spans="2:2" ht="15" x14ac:dyDescent="0.25">
      <c r="B604" s="244"/>
    </row>
    <row r="605" spans="2:2" ht="15" x14ac:dyDescent="0.25">
      <c r="B605" s="244"/>
    </row>
    <row r="606" spans="2:2" ht="15" x14ac:dyDescent="0.25">
      <c r="B606" s="244"/>
    </row>
    <row r="607" spans="2:2" ht="15" x14ac:dyDescent="0.25">
      <c r="B607" s="244"/>
    </row>
    <row r="608" spans="2:2" ht="15" x14ac:dyDescent="0.25">
      <c r="B608" s="244"/>
    </row>
    <row r="609" spans="2:2" ht="15" x14ac:dyDescent="0.25">
      <c r="B609" s="244"/>
    </row>
    <row r="610" spans="2:2" ht="15" x14ac:dyDescent="0.25">
      <c r="B610" s="244"/>
    </row>
    <row r="611" spans="2:2" ht="15" x14ac:dyDescent="0.25">
      <c r="B611" s="244"/>
    </row>
    <row r="612" spans="2:2" ht="15" x14ac:dyDescent="0.25">
      <c r="B612" s="244"/>
    </row>
    <row r="613" spans="2:2" ht="15" x14ac:dyDescent="0.25">
      <c r="B613" s="244"/>
    </row>
    <row r="614" spans="2:2" ht="15" x14ac:dyDescent="0.25">
      <c r="B614" s="244"/>
    </row>
    <row r="615" spans="2:2" ht="15" x14ac:dyDescent="0.25">
      <c r="B615" s="244"/>
    </row>
    <row r="616" spans="2:2" ht="15" x14ac:dyDescent="0.25">
      <c r="B616" s="244"/>
    </row>
    <row r="617" spans="2:2" ht="15" x14ac:dyDescent="0.25">
      <c r="B617" s="244"/>
    </row>
    <row r="618" spans="2:2" ht="15" x14ac:dyDescent="0.25">
      <c r="B618" s="244"/>
    </row>
    <row r="619" spans="2:2" ht="15" x14ac:dyDescent="0.25">
      <c r="B619" s="244"/>
    </row>
    <row r="620" spans="2:2" ht="15" x14ac:dyDescent="0.25">
      <c r="B620" s="244"/>
    </row>
    <row r="621" spans="2:2" ht="15" x14ac:dyDescent="0.25">
      <c r="B621" s="244"/>
    </row>
    <row r="622" spans="2:2" ht="15" x14ac:dyDescent="0.25">
      <c r="B622" s="244"/>
    </row>
    <row r="623" spans="2:2" ht="15" x14ac:dyDescent="0.25">
      <c r="B623" s="244"/>
    </row>
    <row r="624" spans="2:2" ht="15" x14ac:dyDescent="0.25">
      <c r="B624" s="244"/>
    </row>
    <row r="625" spans="2:2" ht="15" x14ac:dyDescent="0.25">
      <c r="B625" s="244"/>
    </row>
    <row r="626" spans="2:2" ht="15" x14ac:dyDescent="0.25">
      <c r="B626" s="244"/>
    </row>
    <row r="627" spans="2:2" ht="15" x14ac:dyDescent="0.25">
      <c r="B627" s="244"/>
    </row>
    <row r="628" spans="2:2" ht="15" x14ac:dyDescent="0.25">
      <c r="B628" s="244"/>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1F7DD-EA97-4C2A-B965-BD29E6042E80}">
  <ds:schemaRef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828201a5-4980-454b-b68f-b51c618fd3e5"/>
    <ds:schemaRef ds:uri="http://purl.org/dc/dcmitype/"/>
    <ds:schemaRef ds:uri="http://schemas.microsoft.com/office/2006/documentManagement/types"/>
    <ds:schemaRef ds:uri="009d42a5-c66e-4786-b0bb-1ca405917402"/>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E2589A5A-2852-4DC7-A052-AC4520814797}">
  <ds:schemaRefs>
    <ds:schemaRef ds:uri="http://schemas.microsoft.com/sharepoint/v3/contenttype/forms"/>
  </ds:schemaRefs>
</ds:datastoreItem>
</file>

<file path=customXml/itemProps3.xml><?xml version="1.0" encoding="utf-8"?>
<ds:datastoreItem xmlns:ds="http://schemas.openxmlformats.org/officeDocument/2006/customXml" ds:itemID="{DC690491-0903-40F7-99BA-966B64613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Manager/>
  <Company>sespas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Yomary</cp:lastModifiedBy>
  <cp:revision/>
  <dcterms:created xsi:type="dcterms:W3CDTF">2007-07-31T17:41:49Z</dcterms:created>
  <dcterms:modified xsi:type="dcterms:W3CDTF">2026-02-02T18:16:25Z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